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tgov.sharepoint.com/sites/PWCNTESMOCostRecovery/Shared Documents/General/Modelogic/Submission Models - 24 April 2025/Submission - No Links/"/>
    </mc:Choice>
  </mc:AlternateContent>
  <xr:revisionPtr revIDLastSave="5" documentId="13_ncr:1_{46AD9411-75B0-478E-A03F-76D26C48BC53}" xr6:coauthVersionLast="47" xr6:coauthVersionMax="47" xr10:uidLastSave="{1EBB08FC-D320-4199-83F1-FD3937C2DBED}"/>
  <bookViews>
    <workbookView xWindow="-96" yWindow="-96" windowWidth="23232" windowHeight="12552" tabRatio="884" xr2:uid="{00000000-000D-0000-FFFF-FFFF00000000}"/>
  </bookViews>
  <sheets>
    <sheet name="Index" sheetId="1" r:id="rId1"/>
    <sheet name="Input|General" sheetId="54" r:id="rId2"/>
    <sheet name="Input|Inflation" sheetId="55" r:id="rId3"/>
    <sheet name="Input|PWC" sheetId="59" r:id="rId4"/>
    <sheet name="Input|Reported opex" sheetId="58" r:id="rId5"/>
    <sheet name="Input|Rate of change" sheetId="2" r:id="rId6"/>
    <sheet name="Input|Step changes" sheetId="53" r:id="rId7"/>
    <sheet name="Calc|Opex forecast" sheetId="42" r:id="rId8"/>
    <sheet name="Output|Models" sheetId="44" r:id="rId9"/>
    <sheet name="Lookup|Tables" sheetId="4" r:id="rId10"/>
    <sheet name="Check|List" sheetId="16" r:id="rId11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'Lookup|Tables'!$H$76:$H$82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'Lookup|Tables'!$H$76:$H$81</definedName>
    <definedName name="thousands">'Lookup|Tables'!$G$18</definedName>
    <definedName name="unit">'Lookup|Tables'!$G$22</definedName>
    <definedName name="units">'Input|General'!$G$15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59" l="1"/>
  <c r="N7" i="59"/>
  <c r="O7" i="59"/>
  <c r="J8" i="59"/>
  <c r="N8" i="59"/>
  <c r="O8" i="59"/>
  <c r="J9" i="59"/>
  <c r="N9" i="59"/>
  <c r="O9" i="59"/>
  <c r="J10" i="59"/>
  <c r="N10" i="59"/>
  <c r="O10" i="59"/>
  <c r="O11" i="59"/>
  <c r="M37" i="58"/>
  <c r="M47" i="58"/>
  <c r="M12" i="42"/>
  <c r="M13" i="42"/>
  <c r="M18" i="42" s="1"/>
  <c r="J18" i="59"/>
  <c r="N18" i="59"/>
  <c r="O18" i="59"/>
  <c r="J24" i="59"/>
  <c r="N24" i="59"/>
  <c r="O24" i="59"/>
  <c r="J30" i="59"/>
  <c r="N30" i="59"/>
  <c r="O30" i="59"/>
  <c r="J36" i="59"/>
  <c r="N36" i="59"/>
  <c r="O36" i="59"/>
  <c r="M63" i="58"/>
  <c r="M22" i="42"/>
  <c r="M23" i="42"/>
  <c r="J19" i="59"/>
  <c r="N19" i="59"/>
  <c r="O19" i="59"/>
  <c r="J25" i="59"/>
  <c r="N25" i="59"/>
  <c r="O25" i="59"/>
  <c r="J31" i="59"/>
  <c r="N31" i="59"/>
  <c r="O31" i="59"/>
  <c r="J37" i="59"/>
  <c r="N37" i="59"/>
  <c r="O37" i="59"/>
  <c r="M64" i="58"/>
  <c r="M25" i="42"/>
  <c r="M26" i="42"/>
  <c r="J20" i="59"/>
  <c r="N20" i="59"/>
  <c r="O20" i="59"/>
  <c r="J26" i="59"/>
  <c r="N26" i="59"/>
  <c r="O26" i="59"/>
  <c r="J32" i="59"/>
  <c r="N32" i="59"/>
  <c r="O32" i="59"/>
  <c r="J38" i="59"/>
  <c r="N38" i="59"/>
  <c r="O38" i="59"/>
  <c r="M65" i="58"/>
  <c r="M28" i="42"/>
  <c r="M29" i="42"/>
  <c r="J21" i="59"/>
  <c r="N21" i="59"/>
  <c r="O21" i="59"/>
  <c r="J27" i="59"/>
  <c r="N27" i="59"/>
  <c r="O27" i="59"/>
  <c r="J33" i="59"/>
  <c r="N33" i="59"/>
  <c r="O33" i="59"/>
  <c r="J39" i="59"/>
  <c r="N39" i="59"/>
  <c r="O39" i="59"/>
  <c r="M66" i="58"/>
  <c r="M31" i="42"/>
  <c r="M32" i="42"/>
  <c r="J22" i="59"/>
  <c r="N22" i="59"/>
  <c r="O22" i="59"/>
  <c r="J28" i="59"/>
  <c r="N28" i="59"/>
  <c r="O28" i="59"/>
  <c r="J34" i="59"/>
  <c r="N34" i="59"/>
  <c r="O34" i="59"/>
  <c r="J40" i="59"/>
  <c r="N40" i="59"/>
  <c r="O40" i="59"/>
  <c r="M67" i="58"/>
  <c r="M34" i="42"/>
  <c r="M35" i="42"/>
  <c r="H47" i="59"/>
  <c r="I47" i="59"/>
  <c r="J47" i="59"/>
  <c r="K47" i="59"/>
  <c r="L47" i="59"/>
  <c r="M47" i="59"/>
  <c r="N47" i="59"/>
  <c r="O47" i="59"/>
  <c r="H48" i="59"/>
  <c r="I48" i="59"/>
  <c r="J48" i="59"/>
  <c r="K48" i="59"/>
  <c r="L48" i="59"/>
  <c r="M48" i="59"/>
  <c r="N48" i="59"/>
  <c r="O48" i="59"/>
  <c r="H49" i="59"/>
  <c r="I49" i="59"/>
  <c r="J49" i="59"/>
  <c r="K49" i="59"/>
  <c r="L49" i="59"/>
  <c r="M49" i="59"/>
  <c r="N49" i="59"/>
  <c r="O49" i="59"/>
  <c r="H50" i="59"/>
  <c r="I50" i="59"/>
  <c r="J50" i="59"/>
  <c r="K50" i="59"/>
  <c r="L50" i="59"/>
  <c r="M50" i="59"/>
  <c r="N50" i="59"/>
  <c r="O50" i="59"/>
  <c r="O51" i="59"/>
  <c r="N51" i="59"/>
  <c r="N53" i="59"/>
  <c r="C13" i="44"/>
  <c r="F51" i="59"/>
  <c r="F50" i="59"/>
  <c r="F49" i="59"/>
  <c r="F48" i="59"/>
  <c r="F47" i="59"/>
  <c r="F42" i="59"/>
  <c r="F41" i="59"/>
  <c r="F40" i="59"/>
  <c r="F39" i="59"/>
  <c r="F38" i="59"/>
  <c r="F37" i="59"/>
  <c r="F36" i="59"/>
  <c r="F35" i="59"/>
  <c r="F34" i="59"/>
  <c r="F33" i="59"/>
  <c r="F32" i="59"/>
  <c r="F31" i="59"/>
  <c r="F30" i="59"/>
  <c r="F29" i="59"/>
  <c r="F28" i="59"/>
  <c r="F27" i="59"/>
  <c r="F26" i="59"/>
  <c r="F25" i="59"/>
  <c r="F24" i="59"/>
  <c r="F23" i="59"/>
  <c r="F22" i="59"/>
  <c r="F21" i="59"/>
  <c r="F20" i="59"/>
  <c r="F19" i="59"/>
  <c r="F18" i="59"/>
  <c r="F8" i="59"/>
  <c r="F9" i="59"/>
  <c r="F10" i="59"/>
  <c r="F11" i="59"/>
  <c r="E70" i="42"/>
  <c r="F70" i="42"/>
  <c r="G70" i="42"/>
  <c r="H70" i="42"/>
  <c r="I70" i="42"/>
  <c r="J70" i="42"/>
  <c r="K70" i="42"/>
  <c r="L70" i="42"/>
  <c r="M70" i="42"/>
  <c r="N70" i="42"/>
  <c r="R70" i="42"/>
  <c r="S70" i="42"/>
  <c r="T70" i="42"/>
  <c r="E71" i="42"/>
  <c r="L71" i="42"/>
  <c r="F71" i="42"/>
  <c r="G71" i="42"/>
  <c r="H71" i="42"/>
  <c r="I71" i="42"/>
  <c r="J71" i="42"/>
  <c r="K71" i="42"/>
  <c r="M71" i="42"/>
  <c r="R71" i="42"/>
  <c r="S71" i="42"/>
  <c r="T71" i="42"/>
  <c r="E72" i="42"/>
  <c r="F72" i="42"/>
  <c r="K72" i="42"/>
  <c r="G72" i="42"/>
  <c r="H72" i="42"/>
  <c r="I72" i="42"/>
  <c r="J72" i="42"/>
  <c r="N72" i="42"/>
  <c r="R72" i="42"/>
  <c r="E73" i="42"/>
  <c r="J73" i="42"/>
  <c r="F73" i="42"/>
  <c r="G73" i="42"/>
  <c r="H73" i="42"/>
  <c r="I73" i="42"/>
  <c r="M73" i="42"/>
  <c r="E74" i="42"/>
  <c r="F74" i="42"/>
  <c r="G74" i="42"/>
  <c r="H74" i="42"/>
  <c r="I74" i="42"/>
  <c r="N74" i="42"/>
  <c r="E75" i="42"/>
  <c r="F75" i="42"/>
  <c r="G75" i="42"/>
  <c r="H75" i="42"/>
  <c r="I75" i="42"/>
  <c r="N75" i="42"/>
  <c r="E76" i="42"/>
  <c r="N76" i="42"/>
  <c r="F76" i="42"/>
  <c r="G76" i="42"/>
  <c r="H76" i="42"/>
  <c r="I76" i="42"/>
  <c r="M76" i="42"/>
  <c r="E77" i="42"/>
  <c r="N77" i="42"/>
  <c r="F77" i="42"/>
  <c r="G77" i="42"/>
  <c r="H77" i="42"/>
  <c r="I77" i="42"/>
  <c r="L77" i="42"/>
  <c r="M77" i="42"/>
  <c r="T77" i="42"/>
  <c r="E20" i="53"/>
  <c r="F20" i="53"/>
  <c r="E21" i="53"/>
  <c r="F21" i="53"/>
  <c r="F22" i="53"/>
  <c r="F23" i="53"/>
  <c r="F24" i="53"/>
  <c r="F25" i="53"/>
  <c r="F26" i="53"/>
  <c r="F27" i="53"/>
  <c r="E22" i="53"/>
  <c r="E23" i="53"/>
  <c r="E24" i="53"/>
  <c r="E25" i="53"/>
  <c r="E26" i="53"/>
  <c r="E27" i="53"/>
  <c r="S77" i="42"/>
  <c r="T76" i="42"/>
  <c r="R77" i="42"/>
  <c r="J77" i="42"/>
  <c r="S76" i="42"/>
  <c r="K76" i="42"/>
  <c r="T75" i="42"/>
  <c r="L75" i="42"/>
  <c r="M74" i="42"/>
  <c r="N73" i="42"/>
  <c r="K77" i="42"/>
  <c r="L76" i="42"/>
  <c r="M75" i="42"/>
  <c r="R76" i="42"/>
  <c r="K75" i="42"/>
  <c r="R75" i="42"/>
  <c r="J75" i="42"/>
  <c r="S74" i="42"/>
  <c r="K74" i="42"/>
  <c r="T73" i="42"/>
  <c r="L73" i="42"/>
  <c r="M72" i="42"/>
  <c r="N71" i="42"/>
  <c r="J76" i="42"/>
  <c r="T74" i="42"/>
  <c r="R74" i="42"/>
  <c r="J74" i="42"/>
  <c r="S73" i="42"/>
  <c r="K73" i="42"/>
  <c r="T72" i="42"/>
  <c r="L72" i="42"/>
  <c r="S75" i="42"/>
  <c r="L74" i="42"/>
  <c r="R73" i="42"/>
  <c r="S72" i="42"/>
  <c r="E60" i="44"/>
  <c r="E59" i="44"/>
  <c r="E58" i="44"/>
  <c r="E57" i="44"/>
  <c r="E56" i="44"/>
  <c r="E54" i="44"/>
  <c r="E53" i="44"/>
  <c r="E52" i="44"/>
  <c r="E51" i="44"/>
  <c r="E50" i="44"/>
  <c r="E48" i="44"/>
  <c r="E47" i="44"/>
  <c r="E46" i="44"/>
  <c r="E45" i="44"/>
  <c r="E44" i="44"/>
  <c r="G89" i="42"/>
  <c r="G88" i="42"/>
  <c r="G87" i="42"/>
  <c r="G86" i="42"/>
  <c r="G85" i="42"/>
  <c r="G69" i="42"/>
  <c r="G68" i="42"/>
  <c r="G67" i="42"/>
  <c r="G66" i="42"/>
  <c r="G65" i="42"/>
  <c r="G64" i="42"/>
  <c r="G63" i="42"/>
  <c r="G62" i="42"/>
  <c r="G60" i="42"/>
  <c r="G33" i="53"/>
  <c r="G83" i="42"/>
  <c r="I69" i="42"/>
  <c r="I68" i="42"/>
  <c r="I67" i="42"/>
  <c r="I66" i="42"/>
  <c r="I65" i="42"/>
  <c r="I64" i="42"/>
  <c r="I63" i="42"/>
  <c r="I62" i="42"/>
  <c r="I60" i="42"/>
  <c r="I89" i="42"/>
  <c r="I88" i="42"/>
  <c r="I87" i="42"/>
  <c r="I86" i="42"/>
  <c r="I85" i="42"/>
  <c r="I83" i="42"/>
  <c r="H83" i="42"/>
  <c r="H60" i="42"/>
  <c r="H33" i="53"/>
  <c r="E64" i="44"/>
  <c r="E40" i="44"/>
  <c r="C30" i="44"/>
  <c r="C25" i="44"/>
  <c r="E68" i="44"/>
  <c r="E66" i="44"/>
  <c r="E65" i="44"/>
  <c r="E63" i="44"/>
  <c r="E62" i="44"/>
  <c r="E42" i="44"/>
  <c r="E41" i="44"/>
  <c r="E39" i="44"/>
  <c r="E38" i="44"/>
  <c r="E29" i="44"/>
  <c r="E28" i="44"/>
  <c r="E27" i="44"/>
  <c r="E24" i="44"/>
  <c r="E23" i="44"/>
  <c r="E22" i="44"/>
  <c r="C67" i="58"/>
  <c r="C40" i="59"/>
  <c r="C34" i="59"/>
  <c r="C28" i="59"/>
  <c r="D40" i="59"/>
  <c r="E40" i="59"/>
  <c r="G40" i="59"/>
  <c r="D34" i="59"/>
  <c r="E34" i="59"/>
  <c r="G34" i="59"/>
  <c r="D28" i="59"/>
  <c r="E28" i="59"/>
  <c r="G28" i="59"/>
  <c r="D22" i="59"/>
  <c r="E22" i="59"/>
  <c r="G22" i="59"/>
  <c r="M23" i="59"/>
  <c r="L23" i="59"/>
  <c r="K23" i="59"/>
  <c r="I23" i="59"/>
  <c r="H23" i="59"/>
  <c r="M29" i="59"/>
  <c r="L29" i="59"/>
  <c r="K29" i="59"/>
  <c r="I29" i="59"/>
  <c r="H29" i="59"/>
  <c r="M35" i="59"/>
  <c r="L35" i="59"/>
  <c r="K35" i="59"/>
  <c r="I35" i="59"/>
  <c r="H35" i="59"/>
  <c r="M41" i="59"/>
  <c r="L41" i="59"/>
  <c r="K41" i="59"/>
  <c r="I41" i="59"/>
  <c r="H41" i="59"/>
  <c r="D39" i="59"/>
  <c r="D38" i="59"/>
  <c r="D37" i="59"/>
  <c r="D36" i="59"/>
  <c r="D33" i="59"/>
  <c r="D32" i="59"/>
  <c r="D31" i="59"/>
  <c r="D30" i="59"/>
  <c r="D27" i="59"/>
  <c r="D26" i="59"/>
  <c r="D25" i="59"/>
  <c r="D24" i="59"/>
  <c r="D21" i="59"/>
  <c r="D20" i="59"/>
  <c r="D19" i="59"/>
  <c r="D18" i="59"/>
  <c r="D10" i="59"/>
  <c r="D9" i="59"/>
  <c r="D8" i="59"/>
  <c r="H89" i="42"/>
  <c r="H88" i="42"/>
  <c r="H87" i="42"/>
  <c r="H86" i="42"/>
  <c r="H85" i="42"/>
  <c r="H69" i="42"/>
  <c r="H68" i="42"/>
  <c r="H67" i="42"/>
  <c r="H66" i="42"/>
  <c r="H65" i="42"/>
  <c r="H64" i="42"/>
  <c r="H63" i="42"/>
  <c r="H62" i="42"/>
  <c r="E32" i="44"/>
  <c r="E30" i="44"/>
  <c r="E25" i="44"/>
  <c r="B2" i="59"/>
  <c r="C64" i="58"/>
  <c r="C65" i="58"/>
  <c r="C66" i="58"/>
  <c r="C63" i="58"/>
  <c r="O46" i="59"/>
  <c r="N46" i="59"/>
  <c r="M46" i="59"/>
  <c r="U46" i="59"/>
  <c r="C66" i="44"/>
  <c r="L46" i="59"/>
  <c r="T46" i="59"/>
  <c r="C60" i="44"/>
  <c r="K46" i="59"/>
  <c r="S46" i="59"/>
  <c r="C54" i="44"/>
  <c r="J46" i="59"/>
  <c r="I46" i="59"/>
  <c r="R46" i="59"/>
  <c r="C48" i="44"/>
  <c r="H46" i="59"/>
  <c r="Q46" i="59"/>
  <c r="C42" i="44"/>
  <c r="F46" i="59"/>
  <c r="E46" i="59"/>
  <c r="D46" i="59"/>
  <c r="C51" i="59"/>
  <c r="C50" i="59"/>
  <c r="C49" i="59"/>
  <c r="C48" i="59"/>
  <c r="C46" i="59"/>
  <c r="C47" i="59"/>
  <c r="E51" i="59"/>
  <c r="E50" i="59"/>
  <c r="E49" i="59"/>
  <c r="E48" i="59"/>
  <c r="E47" i="59"/>
  <c r="E42" i="59"/>
  <c r="C41" i="59"/>
  <c r="C39" i="59"/>
  <c r="C38" i="59"/>
  <c r="C37" i="59"/>
  <c r="C36" i="59"/>
  <c r="C35" i="59"/>
  <c r="C33" i="59"/>
  <c r="C32" i="59"/>
  <c r="C31" i="59"/>
  <c r="C30" i="59"/>
  <c r="C29" i="59"/>
  <c r="C27" i="59"/>
  <c r="C26" i="59"/>
  <c r="C25" i="59"/>
  <c r="C24" i="59"/>
  <c r="G37" i="59"/>
  <c r="G38" i="59"/>
  <c r="G39" i="59"/>
  <c r="G36" i="59"/>
  <c r="E41" i="59"/>
  <c r="E39" i="59"/>
  <c r="E38" i="59"/>
  <c r="E37" i="59"/>
  <c r="E36" i="59"/>
  <c r="G31" i="59"/>
  <c r="G32" i="59"/>
  <c r="G33" i="59"/>
  <c r="G30" i="59"/>
  <c r="E35" i="59"/>
  <c r="E33" i="59"/>
  <c r="E32" i="59"/>
  <c r="E31" i="59"/>
  <c r="E30" i="59"/>
  <c r="G25" i="59"/>
  <c r="G26" i="59"/>
  <c r="G27" i="59"/>
  <c r="G24" i="59"/>
  <c r="E29" i="59"/>
  <c r="E27" i="59"/>
  <c r="E26" i="59"/>
  <c r="E25" i="59"/>
  <c r="E24" i="59"/>
  <c r="G17" i="59"/>
  <c r="F17" i="59"/>
  <c r="E17" i="59"/>
  <c r="D17" i="59"/>
  <c r="O17" i="59"/>
  <c r="N17" i="59"/>
  <c r="M17" i="59"/>
  <c r="L17" i="59"/>
  <c r="K17" i="59"/>
  <c r="J17" i="59"/>
  <c r="I17" i="59"/>
  <c r="H17" i="59"/>
  <c r="G19" i="59"/>
  <c r="G20" i="59"/>
  <c r="G21" i="59"/>
  <c r="G18" i="59"/>
  <c r="E23" i="59"/>
  <c r="E21" i="59"/>
  <c r="E20" i="59"/>
  <c r="E19" i="59"/>
  <c r="E18" i="59"/>
  <c r="E8" i="59"/>
  <c r="E9" i="59"/>
  <c r="E10" i="59"/>
  <c r="E11" i="59"/>
  <c r="E7" i="59"/>
  <c r="I11" i="59"/>
  <c r="H11" i="59"/>
  <c r="M11" i="59"/>
  <c r="L11" i="59"/>
  <c r="K11" i="59"/>
  <c r="C45" i="44"/>
  <c r="C39" i="44"/>
  <c r="C57" i="44"/>
  <c r="C63" i="44"/>
  <c r="C51" i="44"/>
  <c r="C58" i="44"/>
  <c r="C52" i="44"/>
  <c r="C64" i="44"/>
  <c r="C40" i="44"/>
  <c r="C46" i="44"/>
  <c r="C59" i="44"/>
  <c r="C53" i="44"/>
  <c r="C47" i="44"/>
  <c r="C65" i="44"/>
  <c r="C41" i="44"/>
  <c r="C38" i="44"/>
  <c r="C56" i="44"/>
  <c r="C50" i="44"/>
  <c r="C62" i="44"/>
  <c r="C44" i="44"/>
  <c r="N23" i="59"/>
  <c r="J23" i="59"/>
  <c r="J29" i="59"/>
  <c r="N41" i="59"/>
  <c r="N35" i="59"/>
  <c r="N29" i="59"/>
  <c r="J41" i="59"/>
  <c r="J35" i="59"/>
  <c r="L42" i="59"/>
  <c r="M42" i="59"/>
  <c r="K42" i="59"/>
  <c r="I42" i="59"/>
  <c r="H42" i="59"/>
  <c r="O23" i="59"/>
  <c r="O41" i="59"/>
  <c r="O35" i="59"/>
  <c r="O29" i="59"/>
  <c r="M51" i="59"/>
  <c r="H51" i="59"/>
  <c r="I51" i="59"/>
  <c r="L51" i="59"/>
  <c r="K51" i="59"/>
  <c r="N42" i="59"/>
  <c r="J42" i="59"/>
  <c r="J51" i="59"/>
  <c r="O42" i="59"/>
  <c r="O55" i="2"/>
  <c r="O55" i="59"/>
  <c r="T50" i="59"/>
  <c r="U47" i="59"/>
  <c r="R48" i="59"/>
  <c r="T47" i="59"/>
  <c r="R47" i="59"/>
  <c r="O58" i="2"/>
  <c r="U50" i="59"/>
  <c r="Q48" i="59"/>
  <c r="S48" i="59"/>
  <c r="J53" i="59"/>
  <c r="R50" i="59"/>
  <c r="Q50" i="59"/>
  <c r="S49" i="59"/>
  <c r="Q47" i="59"/>
  <c r="R51" i="59"/>
  <c r="U49" i="59"/>
  <c r="T49" i="59"/>
  <c r="T48" i="59"/>
  <c r="Q51" i="59"/>
  <c r="U51" i="59"/>
  <c r="Q49" i="59"/>
  <c r="U48" i="59"/>
  <c r="T51" i="59"/>
  <c r="S47" i="59"/>
  <c r="S51" i="59"/>
  <c r="R49" i="59"/>
  <c r="S50" i="59"/>
  <c r="N11" i="59"/>
  <c r="J11" i="59"/>
  <c r="V11" i="59"/>
  <c r="V10" i="59"/>
  <c r="V9" i="59"/>
  <c r="V8" i="59"/>
  <c r="V7" i="59"/>
  <c r="B1" i="59"/>
  <c r="F12" i="53"/>
  <c r="F13" i="53"/>
  <c r="F14" i="53"/>
  <c r="F15" i="53"/>
  <c r="F16" i="53"/>
  <c r="F17" i="53"/>
  <c r="F18" i="53"/>
  <c r="F19" i="53"/>
  <c r="P55" i="2"/>
  <c r="Q55" i="2"/>
  <c r="R55" i="2"/>
  <c r="R58" i="2"/>
  <c r="N13" i="59"/>
  <c r="J13" i="59"/>
  <c r="V1" i="59"/>
  <c r="F8" i="42"/>
  <c r="Q58" i="2"/>
  <c r="P58" i="2"/>
  <c r="M99" i="2" a="1"/>
  <c r="M99" i="2"/>
  <c r="M97" i="2" a="1"/>
  <c r="M97" i="2"/>
  <c r="M96" i="2" a="1"/>
  <c r="M96" i="2"/>
  <c r="L96" i="2" a="1"/>
  <c r="L96" i="2"/>
  <c r="J97" i="2" a="1"/>
  <c r="J97" i="2"/>
  <c r="J99" i="2" a="1"/>
  <c r="J99" i="2"/>
  <c r="K97" i="2" a="1"/>
  <c r="K97" i="2"/>
  <c r="L97" i="2" a="1"/>
  <c r="L97" i="2"/>
  <c r="K96" i="2" a="1"/>
  <c r="K96" i="2"/>
  <c r="K95" i="2" a="1"/>
  <c r="K95" i="2"/>
  <c r="L99" i="2" a="1"/>
  <c r="L99" i="2"/>
  <c r="J95" i="2" a="1"/>
  <c r="J95" i="2"/>
  <c r="K99" i="2" a="1"/>
  <c r="K99" i="2"/>
  <c r="J98" i="2" a="1"/>
  <c r="J98" i="2"/>
  <c r="J96" i="2" a="1"/>
  <c r="J96" i="2"/>
  <c r="M98" i="2" a="1"/>
  <c r="M98" i="2"/>
  <c r="L98" i="2" a="1"/>
  <c r="L98" i="2"/>
  <c r="L100" i="2" a="1"/>
  <c r="L100" i="2"/>
  <c r="K98" i="2" a="1"/>
  <c r="K98" i="2"/>
  <c r="M100" i="2" a="1"/>
  <c r="M100" i="2"/>
  <c r="J100" i="2" a="1"/>
  <c r="J100" i="2"/>
  <c r="K100" i="2" a="1"/>
  <c r="K100" i="2"/>
  <c r="M95" i="2" a="1"/>
  <c r="M95" i="2"/>
  <c r="L95" i="2" a="1"/>
  <c r="L95" i="2"/>
  <c r="H75" i="55"/>
  <c r="H74" i="55"/>
  <c r="H73" i="55"/>
  <c r="H72" i="55"/>
  <c r="H71" i="55"/>
  <c r="H70" i="55"/>
  <c r="H69" i="55"/>
  <c r="H68" i="55"/>
  <c r="H67" i="55"/>
  <c r="H66" i="55"/>
  <c r="H65" i="55"/>
  <c r="H64" i="55"/>
  <c r="H63" i="55"/>
  <c r="H62" i="55"/>
  <c r="H61" i="55"/>
  <c r="H60" i="55"/>
  <c r="H59" i="55"/>
  <c r="H58" i="55"/>
  <c r="H57" i="55"/>
  <c r="H56" i="55"/>
  <c r="H55" i="55"/>
  <c r="H54" i="55"/>
  <c r="H53" i="55"/>
  <c r="H52" i="55"/>
  <c r="H51" i="55"/>
  <c r="H50" i="55"/>
  <c r="H49" i="55"/>
  <c r="H48" i="55"/>
  <c r="H47" i="55"/>
  <c r="H46" i="55"/>
  <c r="H45" i="55"/>
  <c r="H44" i="55"/>
  <c r="H43" i="55"/>
  <c r="H42" i="55"/>
  <c r="H41" i="55"/>
  <c r="H40" i="55"/>
  <c r="H39" i="55"/>
  <c r="H38" i="55"/>
  <c r="H37" i="55"/>
  <c r="H36" i="55"/>
  <c r="H35" i="55"/>
  <c r="H34" i="55"/>
  <c r="H33" i="55"/>
  <c r="H32" i="55"/>
  <c r="H31" i="55"/>
  <c r="H30" i="55"/>
  <c r="H29" i="55"/>
  <c r="H28" i="55"/>
  <c r="H27" i="55"/>
  <c r="H26" i="55"/>
  <c r="H25" i="55"/>
  <c r="H24" i="55"/>
  <c r="H23" i="55"/>
  <c r="H22" i="55"/>
  <c r="H21" i="55"/>
  <c r="H78" i="55"/>
  <c r="H76" i="55"/>
  <c r="H77" i="55"/>
  <c r="V29" i="58"/>
  <c r="V75" i="2"/>
  <c r="B2" i="55"/>
  <c r="V9" i="55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E100" i="2"/>
  <c r="E99" i="2"/>
  <c r="E98" i="2"/>
  <c r="E97" i="2"/>
  <c r="E96" i="2"/>
  <c r="E95" i="2"/>
  <c r="C87" i="2"/>
  <c r="C88" i="2"/>
  <c r="C89" i="2"/>
  <c r="C90" i="2"/>
  <c r="C91" i="2"/>
  <c r="C86" i="2"/>
  <c r="K93" i="2"/>
  <c r="L93" i="2"/>
  <c r="M93" i="2"/>
  <c r="J93" i="2"/>
  <c r="J102" i="2" a="1"/>
  <c r="J102" i="2"/>
  <c r="I65" i="55"/>
  <c r="V65" i="55"/>
  <c r="I57" i="55"/>
  <c r="V57" i="55"/>
  <c r="I49" i="55"/>
  <c r="V49" i="55"/>
  <c r="I41" i="55"/>
  <c r="V41" i="55"/>
  <c r="I33" i="55"/>
  <c r="V33" i="55"/>
  <c r="I36" i="55"/>
  <c r="V36" i="55"/>
  <c r="I60" i="55"/>
  <c r="V60" i="55"/>
  <c r="I52" i="55"/>
  <c r="V52" i="55"/>
  <c r="I44" i="55"/>
  <c r="V44" i="55"/>
  <c r="I66" i="55"/>
  <c r="V66" i="55"/>
  <c r="I58" i="55"/>
  <c r="V58" i="55"/>
  <c r="I50" i="55"/>
  <c r="V50" i="55"/>
  <c r="I42" i="55"/>
  <c r="V42" i="55"/>
  <c r="I34" i="55"/>
  <c r="V34" i="55"/>
  <c r="I26" i="55"/>
  <c r="I25" i="55"/>
  <c r="I47" i="55"/>
  <c r="V47" i="55"/>
  <c r="I63" i="55"/>
  <c r="V63" i="55"/>
  <c r="I39" i="55"/>
  <c r="V39" i="55"/>
  <c r="I55" i="55"/>
  <c r="V55" i="55"/>
  <c r="I31" i="55"/>
  <c r="V31" i="55"/>
  <c r="I28" i="55"/>
  <c r="I64" i="55"/>
  <c r="V64" i="55"/>
  <c r="I56" i="55"/>
  <c r="V56" i="55"/>
  <c r="I48" i="55"/>
  <c r="V48" i="55"/>
  <c r="I40" i="55"/>
  <c r="V40" i="55"/>
  <c r="I32" i="55"/>
  <c r="V32" i="55"/>
  <c r="I70" i="55"/>
  <c r="V70" i="55"/>
  <c r="I62" i="55"/>
  <c r="V62" i="55"/>
  <c r="I54" i="55"/>
  <c r="V54" i="55"/>
  <c r="I46" i="55"/>
  <c r="V46" i="55"/>
  <c r="I38" i="55"/>
  <c r="V38" i="55"/>
  <c r="I30" i="55"/>
  <c r="V30" i="55"/>
  <c r="I69" i="55"/>
  <c r="V69" i="55"/>
  <c r="I61" i="55"/>
  <c r="V61" i="55"/>
  <c r="I53" i="55"/>
  <c r="V53" i="55"/>
  <c r="I45" i="55"/>
  <c r="V45" i="55"/>
  <c r="I37" i="55"/>
  <c r="V37" i="55"/>
  <c r="I29" i="55"/>
  <c r="I67" i="55"/>
  <c r="V67" i="55"/>
  <c r="I59" i="55"/>
  <c r="V59" i="55"/>
  <c r="I51" i="55"/>
  <c r="V51" i="55"/>
  <c r="I43" i="55"/>
  <c r="V43" i="55"/>
  <c r="I35" i="55"/>
  <c r="V35" i="55"/>
  <c r="I27" i="55"/>
  <c r="I78" i="55"/>
  <c r="V78" i="55"/>
  <c r="I68" i="55"/>
  <c r="V68" i="55"/>
  <c r="I74" i="55"/>
  <c r="V74" i="55"/>
  <c r="S52" i="42"/>
  <c r="C7" i="4"/>
  <c r="S15" i="54"/>
  <c r="F47" i="53"/>
  <c r="E39" i="53"/>
  <c r="E38" i="53"/>
  <c r="E37" i="53"/>
  <c r="E36" i="53"/>
  <c r="E35" i="53"/>
  <c r="F39" i="53"/>
  <c r="F38" i="53"/>
  <c r="F37" i="53"/>
  <c r="F36" i="53"/>
  <c r="F35" i="53"/>
  <c r="E19" i="53"/>
  <c r="E18" i="53"/>
  <c r="E17" i="53"/>
  <c r="E16" i="53"/>
  <c r="E15" i="53"/>
  <c r="E14" i="53"/>
  <c r="E13" i="53"/>
  <c r="E12" i="53"/>
  <c r="F13" i="58"/>
  <c r="F24" i="58"/>
  <c r="F69" i="58"/>
  <c r="F67" i="58"/>
  <c r="F34" i="42"/>
  <c r="F66" i="58"/>
  <c r="F31" i="42"/>
  <c r="F65" i="58"/>
  <c r="F28" i="42"/>
  <c r="F64" i="58"/>
  <c r="F63" i="58"/>
  <c r="E69" i="58"/>
  <c r="E67" i="58"/>
  <c r="E34" i="42"/>
  <c r="E66" i="58"/>
  <c r="E31" i="42"/>
  <c r="E65" i="58"/>
  <c r="E28" i="42"/>
  <c r="E64" i="58"/>
  <c r="E25" i="42"/>
  <c r="E63" i="58"/>
  <c r="E22" i="42"/>
  <c r="E57" i="58"/>
  <c r="E12" i="42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1" i="58"/>
  <c r="E20" i="58"/>
  <c r="E19" i="58"/>
  <c r="E13" i="58"/>
  <c r="E15" i="58"/>
  <c r="J4" i="42"/>
  <c r="K4" i="42"/>
  <c r="K12" i="42"/>
  <c r="L4" i="42"/>
  <c r="M4" i="42"/>
  <c r="N4" i="42"/>
  <c r="O4" i="42"/>
  <c r="P4" i="42"/>
  <c r="Q4" i="42"/>
  <c r="R4" i="42"/>
  <c r="R15" i="42"/>
  <c r="S4" i="42"/>
  <c r="T4" i="42"/>
  <c r="J4" i="58"/>
  <c r="E18" i="44"/>
  <c r="E88" i="42"/>
  <c r="E89" i="42"/>
  <c r="E16" i="44"/>
  <c r="T4" i="44"/>
  <c r="T11" i="44"/>
  <c r="T49" i="42"/>
  <c r="T52" i="42"/>
  <c r="U79" i="2"/>
  <c r="U80" i="2"/>
  <c r="U4" i="2"/>
  <c r="H82" i="4"/>
  <c r="G82" i="4"/>
  <c r="T4" i="53"/>
  <c r="T45" i="53"/>
  <c r="T49" i="53"/>
  <c r="T4" i="58"/>
  <c r="T61" i="58"/>
  <c r="K102" i="2" a="1"/>
  <c r="K102" i="2"/>
  <c r="L102" i="2" a="1"/>
  <c r="L102" i="2"/>
  <c r="M102" i="2" a="1"/>
  <c r="M102" i="2"/>
  <c r="U78" i="2"/>
  <c r="C16" i="16"/>
  <c r="D16" i="16"/>
  <c r="C15" i="16"/>
  <c r="D15" i="16"/>
  <c r="C14" i="16"/>
  <c r="C13" i="16"/>
  <c r="D13" i="16"/>
  <c r="C12" i="16"/>
  <c r="D12" i="16"/>
  <c r="C11" i="16"/>
  <c r="D11" i="16"/>
  <c r="H76" i="4"/>
  <c r="G76" i="4"/>
  <c r="U77" i="2"/>
  <c r="N47" i="58"/>
  <c r="O47" i="58"/>
  <c r="P47" i="58"/>
  <c r="Q47" i="58"/>
  <c r="R47" i="58"/>
  <c r="S47" i="58"/>
  <c r="C106" i="2" a="1"/>
  <c r="C109" i="2"/>
  <c r="T102" i="2" a="1"/>
  <c r="T102" i="2"/>
  <c r="S102" i="2" a="1"/>
  <c r="S102" i="2"/>
  <c r="R102" i="2" a="1"/>
  <c r="R102" i="2"/>
  <c r="Q102" i="2" a="1"/>
  <c r="Q102" i="2"/>
  <c r="P102" i="2" a="1"/>
  <c r="P102" i="2"/>
  <c r="O102" i="2" a="1"/>
  <c r="O102" i="2"/>
  <c r="N102" i="2" a="1"/>
  <c r="N102" i="2"/>
  <c r="C100" i="2"/>
  <c r="C99" i="2"/>
  <c r="C98" i="2"/>
  <c r="C97" i="2"/>
  <c r="C96" i="2"/>
  <c r="C95" i="2"/>
  <c r="F15" i="42"/>
  <c r="F8" i="44"/>
  <c r="E16" i="42"/>
  <c r="K29" i="58"/>
  <c r="L29" i="58"/>
  <c r="M29" i="58"/>
  <c r="N29" i="58"/>
  <c r="O29" i="58"/>
  <c r="P29" i="58"/>
  <c r="Q29" i="58"/>
  <c r="R29" i="58"/>
  <c r="S29" i="58"/>
  <c r="J29" i="58"/>
  <c r="D15" i="58"/>
  <c r="K15" i="58"/>
  <c r="L15" i="58"/>
  <c r="M15" i="58"/>
  <c r="N15" i="58"/>
  <c r="O15" i="58"/>
  <c r="P15" i="58"/>
  <c r="Q15" i="58"/>
  <c r="R15" i="58"/>
  <c r="S15" i="58"/>
  <c r="J15" i="58"/>
  <c r="E20" i="42"/>
  <c r="N57" i="58"/>
  <c r="O57" i="58"/>
  <c r="P57" i="58"/>
  <c r="Q57" i="58"/>
  <c r="R57" i="58"/>
  <c r="S57" i="58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52" i="4"/>
  <c r="H81" i="4"/>
  <c r="G81" i="4"/>
  <c r="H80" i="4"/>
  <c r="G80" i="4"/>
  <c r="H79" i="4"/>
  <c r="G79" i="4"/>
  <c r="H78" i="4"/>
  <c r="G78" i="4"/>
  <c r="H87" i="4"/>
  <c r="G87" i="4"/>
  <c r="H86" i="4"/>
  <c r="G86" i="4"/>
  <c r="H85" i="4"/>
  <c r="G85" i="4"/>
  <c r="H84" i="4"/>
  <c r="G84" i="4"/>
  <c r="H83" i="4"/>
  <c r="H77" i="4"/>
  <c r="G77" i="4"/>
  <c r="C51" i="4"/>
  <c r="E18" i="42"/>
  <c r="S4" i="44"/>
  <c r="S11" i="44"/>
  <c r="R4" i="44"/>
  <c r="R11" i="44"/>
  <c r="Q4" i="44"/>
  <c r="Q11" i="44"/>
  <c r="P4" i="44"/>
  <c r="P11" i="44"/>
  <c r="O4" i="44"/>
  <c r="O11" i="44"/>
  <c r="N4" i="44"/>
  <c r="N11" i="44"/>
  <c r="M4" i="44"/>
  <c r="M11" i="44"/>
  <c r="L4" i="44"/>
  <c r="L11" i="44"/>
  <c r="K4" i="44"/>
  <c r="K11" i="44"/>
  <c r="J4" i="44"/>
  <c r="J11" i="44"/>
  <c r="S4" i="53"/>
  <c r="S10" i="53"/>
  <c r="S29" i="53"/>
  <c r="R4" i="53"/>
  <c r="R45" i="53"/>
  <c r="R49" i="53"/>
  <c r="Q4" i="53"/>
  <c r="Q45" i="53"/>
  <c r="Q49" i="53"/>
  <c r="P4" i="53"/>
  <c r="O4" i="53"/>
  <c r="O45" i="53"/>
  <c r="O49" i="53"/>
  <c r="N4" i="53"/>
  <c r="N10" i="53"/>
  <c r="N29" i="53"/>
  <c r="M4" i="53"/>
  <c r="M10" i="53"/>
  <c r="M29" i="53"/>
  <c r="L4" i="53"/>
  <c r="L45" i="53"/>
  <c r="L49" i="53"/>
  <c r="K4" i="53"/>
  <c r="J4" i="53"/>
  <c r="J33" i="53"/>
  <c r="J41" i="53"/>
  <c r="J4" i="2"/>
  <c r="T4" i="2"/>
  <c r="S4" i="2"/>
  <c r="R4" i="2"/>
  <c r="Q4" i="2"/>
  <c r="P4" i="2"/>
  <c r="O4" i="2"/>
  <c r="N4" i="2"/>
  <c r="M4" i="2"/>
  <c r="L4" i="2"/>
  <c r="K4" i="2"/>
  <c r="S4" i="58"/>
  <c r="R4" i="58"/>
  <c r="R61" i="58"/>
  <c r="Q4" i="58"/>
  <c r="P4" i="58"/>
  <c r="P61" i="58"/>
  <c r="O4" i="58"/>
  <c r="O61" i="58"/>
  <c r="N4" i="58"/>
  <c r="N61" i="58"/>
  <c r="M4" i="58"/>
  <c r="M61" i="58"/>
  <c r="L4" i="58"/>
  <c r="L61" i="58"/>
  <c r="K4" i="58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T77" i="2"/>
  <c r="N77" i="2"/>
  <c r="P15" i="42"/>
  <c r="P12" i="42"/>
  <c r="R12" i="42"/>
  <c r="R10" i="42"/>
  <c r="S8" i="54"/>
  <c r="C34" i="42"/>
  <c r="C35" i="42"/>
  <c r="C31" i="42"/>
  <c r="C32" i="42"/>
  <c r="C28" i="42"/>
  <c r="C29" i="42"/>
  <c r="F25" i="42"/>
  <c r="C25" i="42"/>
  <c r="C26" i="42"/>
  <c r="F22" i="42"/>
  <c r="C22" i="42"/>
  <c r="C23" i="42"/>
  <c r="F12" i="42"/>
  <c r="C2" i="58"/>
  <c r="C1" i="58"/>
  <c r="E17" i="44"/>
  <c r="E15" i="44"/>
  <c r="E14" i="44"/>
  <c r="E97" i="42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13" i="55"/>
  <c r="C35" i="4"/>
  <c r="S9" i="54"/>
  <c r="E35" i="42"/>
  <c r="E32" i="42"/>
  <c r="E29" i="42"/>
  <c r="E26" i="42"/>
  <c r="E23" i="42"/>
  <c r="E79" i="42"/>
  <c r="E99" i="42"/>
  <c r="E39" i="42"/>
  <c r="E37" i="42"/>
  <c r="E13" i="42"/>
  <c r="E13" i="44"/>
  <c r="E98" i="42"/>
  <c r="E62" i="42"/>
  <c r="E63" i="42"/>
  <c r="E64" i="42"/>
  <c r="E65" i="42"/>
  <c r="E66" i="42"/>
  <c r="E67" i="42"/>
  <c r="E68" i="42"/>
  <c r="E69" i="42"/>
  <c r="E85" i="42"/>
  <c r="E86" i="42"/>
  <c r="E87" i="42"/>
  <c r="E91" i="42"/>
  <c r="S11" i="54"/>
  <c r="S14" i="54"/>
  <c r="G15" i="16"/>
  <c r="G16" i="16"/>
  <c r="B1" i="55"/>
  <c r="E12" i="2"/>
  <c r="O49" i="42"/>
  <c r="O52" i="42"/>
  <c r="J49" i="42"/>
  <c r="J52" i="42"/>
  <c r="K49" i="42"/>
  <c r="K52" i="42"/>
  <c r="L49" i="42"/>
  <c r="L52" i="42"/>
  <c r="M49" i="42"/>
  <c r="M52" i="42"/>
  <c r="N49" i="42"/>
  <c r="N52" i="42"/>
  <c r="P49" i="42"/>
  <c r="Q49" i="42"/>
  <c r="R49" i="42"/>
  <c r="S49" i="42"/>
  <c r="P52" i="42"/>
  <c r="Q52" i="42"/>
  <c r="R52" i="42"/>
  <c r="C78" i="2"/>
  <c r="C79" i="2"/>
  <c r="C80" i="2"/>
  <c r="C81" i="2"/>
  <c r="C82" i="2"/>
  <c r="C77" i="2"/>
  <c r="S7" i="54"/>
  <c r="S10" i="54"/>
  <c r="S12" i="54"/>
  <c r="S13" i="54"/>
  <c r="D14" i="16"/>
  <c r="C10" i="16"/>
  <c r="D10" i="16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15" i="2"/>
  <c r="B2" i="2"/>
  <c r="B1" i="2"/>
  <c r="C75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L47" i="58"/>
  <c r="K47" i="58"/>
  <c r="J47" i="58"/>
  <c r="L57" i="58"/>
  <c r="L15" i="42"/>
  <c r="K57" i="58"/>
  <c r="J57" i="58"/>
  <c r="M57" i="58"/>
  <c r="V57" i="58"/>
  <c r="F60" i="44"/>
  <c r="F51" i="44"/>
  <c r="F45" i="44"/>
  <c r="F57" i="44"/>
  <c r="F47" i="44"/>
  <c r="F53" i="44"/>
  <c r="F44" i="44"/>
  <c r="F59" i="44"/>
  <c r="F50" i="44"/>
  <c r="F56" i="44"/>
  <c r="F46" i="44"/>
  <c r="F52" i="44"/>
  <c r="F58" i="44"/>
  <c r="F48" i="44"/>
  <c r="F54" i="44"/>
  <c r="F64" i="44"/>
  <c r="F40" i="44"/>
  <c r="F68" i="44"/>
  <c r="F41" i="44"/>
  <c r="F42" i="44"/>
  <c r="F63" i="44"/>
  <c r="F66" i="44"/>
  <c r="F39" i="44"/>
  <c r="F62" i="44"/>
  <c r="F65" i="44"/>
  <c r="F38" i="44"/>
  <c r="F24" i="44"/>
  <c r="F23" i="44"/>
  <c r="F22" i="44"/>
  <c r="F27" i="44"/>
  <c r="F29" i="44"/>
  <c r="F28" i="44"/>
  <c r="F18" i="44"/>
  <c r="F30" i="44"/>
  <c r="F25" i="44"/>
  <c r="F32" i="44"/>
  <c r="K34" i="58"/>
  <c r="K61" i="58"/>
  <c r="S34" i="58"/>
  <c r="S61" i="58"/>
  <c r="R75" i="2"/>
  <c r="R49" i="2"/>
  <c r="R60" i="2"/>
  <c r="R113" i="2"/>
  <c r="R117" i="2"/>
  <c r="R104" i="2"/>
  <c r="R36" i="2"/>
  <c r="O60" i="42"/>
  <c r="O83" i="42"/>
  <c r="K75" i="2"/>
  <c r="K113" i="2"/>
  <c r="K117" i="2"/>
  <c r="K49" i="2"/>
  <c r="K60" i="2"/>
  <c r="K36" i="2"/>
  <c r="K47" i="2"/>
  <c r="K104" i="2"/>
  <c r="S75" i="2"/>
  <c r="S49" i="2"/>
  <c r="S113" i="2"/>
  <c r="S36" i="2"/>
  <c r="S104" i="2"/>
  <c r="N60" i="42"/>
  <c r="N83" i="42"/>
  <c r="L36" i="2"/>
  <c r="L47" i="2"/>
  <c r="L113" i="2"/>
  <c r="L49" i="2"/>
  <c r="L104" i="2"/>
  <c r="L75" i="2"/>
  <c r="T36" i="2"/>
  <c r="T47" i="2"/>
  <c r="T75" i="2"/>
  <c r="T49" i="2"/>
  <c r="T60" i="2"/>
  <c r="T113" i="2"/>
  <c r="T117" i="2"/>
  <c r="T104" i="2"/>
  <c r="J10" i="58"/>
  <c r="J61" i="58"/>
  <c r="M60" i="42"/>
  <c r="M83" i="42"/>
  <c r="M104" i="2"/>
  <c r="M106" i="2"/>
  <c r="M36" i="2"/>
  <c r="M47" i="2"/>
  <c r="M113" i="2"/>
  <c r="M117" i="2"/>
  <c r="M75" i="2"/>
  <c r="M49" i="2"/>
  <c r="J104" i="2"/>
  <c r="J36" i="2"/>
  <c r="J47" i="2"/>
  <c r="J75" i="2"/>
  <c r="J49" i="2"/>
  <c r="J60" i="2"/>
  <c r="J113" i="2"/>
  <c r="J117" i="2"/>
  <c r="L60" i="42"/>
  <c r="L83" i="42"/>
  <c r="N104" i="2"/>
  <c r="N49" i="2"/>
  <c r="N36" i="2"/>
  <c r="N75" i="2"/>
  <c r="N113" i="2"/>
  <c r="N117" i="2"/>
  <c r="S83" i="42"/>
  <c r="S60" i="42"/>
  <c r="K60" i="42"/>
  <c r="K83" i="42"/>
  <c r="Q113" i="2"/>
  <c r="Q104" i="2"/>
  <c r="Q75" i="2"/>
  <c r="Q49" i="2"/>
  <c r="Q60" i="2"/>
  <c r="Q36" i="2"/>
  <c r="Q47" i="2"/>
  <c r="O75" i="2"/>
  <c r="O104" i="2"/>
  <c r="O36" i="2"/>
  <c r="O49" i="2"/>
  <c r="O113" i="2"/>
  <c r="O117" i="2"/>
  <c r="R83" i="42"/>
  <c r="R60" i="42"/>
  <c r="J60" i="42"/>
  <c r="J83" i="42"/>
  <c r="Q10" i="58"/>
  <c r="Q61" i="58"/>
  <c r="P113" i="2"/>
  <c r="P36" i="2"/>
  <c r="P47" i="2"/>
  <c r="P104" i="2"/>
  <c r="P75" i="2"/>
  <c r="P49" i="2"/>
  <c r="P60" i="2"/>
  <c r="Q83" i="42"/>
  <c r="Q60" i="42"/>
  <c r="P60" i="42"/>
  <c r="P83" i="42"/>
  <c r="O34" i="42"/>
  <c r="O25" i="42"/>
  <c r="O31" i="42"/>
  <c r="O20" i="42"/>
  <c r="O22" i="42"/>
  <c r="O43" i="42"/>
  <c r="O50" i="42" a="1"/>
  <c r="O50" i="42"/>
  <c r="O28" i="42"/>
  <c r="N25" i="42"/>
  <c r="N31" i="42"/>
  <c r="N28" i="42"/>
  <c r="N22" i="42"/>
  <c r="N43" i="42"/>
  <c r="N53" i="42" a="1"/>
  <c r="N53" i="42"/>
  <c r="N34" i="42"/>
  <c r="M43" i="42"/>
  <c r="T83" i="42"/>
  <c r="T31" i="42"/>
  <c r="T22" i="42"/>
  <c r="T34" i="42"/>
  <c r="T28" i="42"/>
  <c r="T20" i="42"/>
  <c r="T25" i="42"/>
  <c r="L31" i="42"/>
  <c r="L22" i="42"/>
  <c r="L34" i="42"/>
  <c r="L43" i="42"/>
  <c r="L53" i="42" a="1"/>
  <c r="L53" i="42"/>
  <c r="L28" i="42"/>
  <c r="L25" i="42"/>
  <c r="S22" i="42"/>
  <c r="S31" i="42"/>
  <c r="S43" i="42"/>
  <c r="S50" i="42" a="1"/>
  <c r="S50" i="42"/>
  <c r="S28" i="42"/>
  <c r="S20" i="42"/>
  <c r="S25" i="42"/>
  <c r="S34" i="42"/>
  <c r="K22" i="42"/>
  <c r="K43" i="42"/>
  <c r="K28" i="42"/>
  <c r="K34" i="42"/>
  <c r="K20" i="42"/>
  <c r="K25" i="42"/>
  <c r="K31" i="42"/>
  <c r="R43" i="42"/>
  <c r="R50" i="42" a="1"/>
  <c r="R50" i="42"/>
  <c r="R28" i="42"/>
  <c r="R22" i="42"/>
  <c r="R20" i="42"/>
  <c r="R34" i="42"/>
  <c r="R25" i="42"/>
  <c r="R31" i="42"/>
  <c r="J31" i="42"/>
  <c r="J22" i="42"/>
  <c r="J43" i="42"/>
  <c r="J47" i="42" a="1"/>
  <c r="J47" i="42"/>
  <c r="J20" i="42"/>
  <c r="J28" i="42"/>
  <c r="J34" i="42"/>
  <c r="J25" i="42"/>
  <c r="Q43" i="42"/>
  <c r="Q50" i="42" a="1"/>
  <c r="Q50" i="42"/>
  <c r="Q28" i="42"/>
  <c r="Q31" i="42"/>
  <c r="Q20" i="42"/>
  <c r="Q34" i="42"/>
  <c r="Q25" i="42"/>
  <c r="Q22" i="42"/>
  <c r="P20" i="42"/>
  <c r="P34" i="42"/>
  <c r="P25" i="42"/>
  <c r="P22" i="42"/>
  <c r="P31" i="42"/>
  <c r="P28" i="42"/>
  <c r="P43" i="42"/>
  <c r="P53" i="42" a="1"/>
  <c r="P53" i="42"/>
  <c r="N12" i="42"/>
  <c r="N10" i="42"/>
  <c r="F86" i="42"/>
  <c r="K99" i="42"/>
  <c r="K98" i="42"/>
  <c r="S10" i="42"/>
  <c r="K97" i="42"/>
  <c r="S12" i="42"/>
  <c r="S15" i="42"/>
  <c r="K15" i="42"/>
  <c r="F89" i="42"/>
  <c r="F23" i="42"/>
  <c r="F18" i="42"/>
  <c r="L98" i="42"/>
  <c r="F35" i="42"/>
  <c r="F69" i="42"/>
  <c r="L99" i="42"/>
  <c r="F87" i="42"/>
  <c r="F14" i="44"/>
  <c r="F29" i="42"/>
  <c r="F62" i="42"/>
  <c r="F99" i="42"/>
  <c r="F64" i="42"/>
  <c r="N15" i="42"/>
  <c r="F65" i="42"/>
  <c r="F32" i="42"/>
  <c r="F13" i="42"/>
  <c r="F66" i="42"/>
  <c r="F85" i="42"/>
  <c r="F88" i="42"/>
  <c r="F37" i="42"/>
  <c r="F67" i="42"/>
  <c r="F91" i="42"/>
  <c r="F39" i="42"/>
  <c r="F26" i="42"/>
  <c r="F68" i="42"/>
  <c r="F98" i="42"/>
  <c r="F20" i="42"/>
  <c r="F63" i="42"/>
  <c r="F79" i="42"/>
  <c r="F97" i="42"/>
  <c r="F16" i="42"/>
  <c r="P10" i="42"/>
  <c r="O12" i="42"/>
  <c r="O10" i="42"/>
  <c r="R10" i="53"/>
  <c r="R29" i="53"/>
  <c r="J10" i="53"/>
  <c r="J29" i="53"/>
  <c r="N33" i="53"/>
  <c r="N41" i="53"/>
  <c r="E15" i="42"/>
  <c r="R33" i="53"/>
  <c r="R41" i="53"/>
  <c r="F13" i="44"/>
  <c r="F15" i="44"/>
  <c r="F17" i="44"/>
  <c r="O64" i="2"/>
  <c r="O60" i="2"/>
  <c r="Q95" i="42"/>
  <c r="P10" i="2"/>
  <c r="P12" i="2"/>
  <c r="P117" i="2"/>
  <c r="P64" i="2"/>
  <c r="U64" i="2"/>
  <c r="U73" i="2"/>
  <c r="U36" i="2"/>
  <c r="U47" i="2"/>
  <c r="U113" i="2"/>
  <c r="U117" i="2"/>
  <c r="U75" i="2"/>
  <c r="U49" i="2"/>
  <c r="U60" i="2"/>
  <c r="U104" i="2"/>
  <c r="U107" i="2"/>
  <c r="Q64" i="2"/>
  <c r="Q117" i="2"/>
  <c r="O95" i="42"/>
  <c r="R47" i="2"/>
  <c r="R64" i="2"/>
  <c r="N95" i="42"/>
  <c r="K64" i="2"/>
  <c r="K73" i="2"/>
  <c r="S47" i="2"/>
  <c r="S117" i="2"/>
  <c r="S64" i="2"/>
  <c r="S60" i="2"/>
  <c r="L64" i="2"/>
  <c r="L73" i="2"/>
  <c r="L117" i="2"/>
  <c r="L60" i="2"/>
  <c r="T64" i="2"/>
  <c r="T60" i="42"/>
  <c r="T43" i="42"/>
  <c r="T53" i="42" a="1"/>
  <c r="T53" i="42"/>
  <c r="L95" i="42"/>
  <c r="S95" i="42"/>
  <c r="K95" i="42"/>
  <c r="M64" i="2"/>
  <c r="M60" i="2"/>
  <c r="J106" i="2"/>
  <c r="J64" i="2"/>
  <c r="J73" i="2"/>
  <c r="N64" i="2"/>
  <c r="N47" i="2"/>
  <c r="N60" i="2"/>
  <c r="R95" i="42"/>
  <c r="L10" i="42"/>
  <c r="J34" i="58"/>
  <c r="T24" i="2"/>
  <c r="M24" i="2"/>
  <c r="L12" i="42"/>
  <c r="L97" i="42"/>
  <c r="O10" i="53"/>
  <c r="S24" i="2"/>
  <c r="M33" i="53"/>
  <c r="M41" i="53"/>
  <c r="M45" i="53"/>
  <c r="M49" i="53"/>
  <c r="F20" i="58"/>
  <c r="T12" i="42"/>
  <c r="F19" i="58"/>
  <c r="F21" i="58"/>
  <c r="J45" i="53"/>
  <c r="J49" i="53"/>
  <c r="Q34" i="58"/>
  <c r="O15" i="42"/>
  <c r="F23" i="58"/>
  <c r="S10" i="2"/>
  <c r="S12" i="2"/>
  <c r="T10" i="53"/>
  <c r="T29" i="53"/>
  <c r="O33" i="53"/>
  <c r="F16" i="44"/>
  <c r="G83" i="4"/>
  <c r="J14" i="2"/>
  <c r="L14" i="2"/>
  <c r="N10" i="58"/>
  <c r="J95" i="42"/>
  <c r="J10" i="42"/>
  <c r="J15" i="42"/>
  <c r="J99" i="42"/>
  <c r="J10" i="2"/>
  <c r="J12" i="2"/>
  <c r="J12" i="42"/>
  <c r="Q15" i="42"/>
  <c r="J98" i="42"/>
  <c r="Q10" i="42"/>
  <c r="F25" i="58"/>
  <c r="J97" i="42"/>
  <c r="J24" i="2"/>
  <c r="P95" i="42"/>
  <c r="M34" i="58"/>
  <c r="M14" i="2"/>
  <c r="N34" i="58"/>
  <c r="F29" i="58"/>
  <c r="M10" i="2"/>
  <c r="M12" i="2"/>
  <c r="C106" i="2"/>
  <c r="R10" i="2"/>
  <c r="R12" i="2"/>
  <c r="P14" i="2"/>
  <c r="S1" i="58"/>
  <c r="G12" i="16"/>
  <c r="C107" i="2"/>
  <c r="F26" i="58"/>
  <c r="L10" i="53"/>
  <c r="L29" i="53"/>
  <c r="O10" i="2"/>
  <c r="O12" i="2"/>
  <c r="F27" i="58"/>
  <c r="N45" i="53"/>
  <c r="N49" i="53"/>
  <c r="T95" i="42"/>
  <c r="R10" i="58"/>
  <c r="F15" i="58"/>
  <c r="S33" i="53"/>
  <c r="S41" i="53"/>
  <c r="F22" i="58"/>
  <c r="S45" i="53"/>
  <c r="S49" i="53"/>
  <c r="R34" i="58"/>
  <c r="L33" i="53"/>
  <c r="L41" i="53"/>
  <c r="K10" i="42"/>
  <c r="Q24" i="2"/>
  <c r="Q10" i="2"/>
  <c r="Q12" i="2"/>
  <c r="Q14" i="2"/>
  <c r="O10" i="58"/>
  <c r="O34" i="58"/>
  <c r="P45" i="53"/>
  <c r="P49" i="53"/>
  <c r="P10" i="53"/>
  <c r="P33" i="53"/>
  <c r="N24" i="2"/>
  <c r="N14" i="2"/>
  <c r="N10" i="2"/>
  <c r="N12" i="2"/>
  <c r="P10" i="58"/>
  <c r="P34" i="58"/>
  <c r="K33" i="53"/>
  <c r="K41" i="53"/>
  <c r="K10" i="53"/>
  <c r="K29" i="53"/>
  <c r="K45" i="53"/>
  <c r="K49" i="53"/>
  <c r="S1" i="54"/>
  <c r="G10" i="16"/>
  <c r="K10" i="58"/>
  <c r="S10" i="58"/>
  <c r="R24" i="2"/>
  <c r="R14" i="2"/>
  <c r="L10" i="58"/>
  <c r="L34" i="58"/>
  <c r="K10" i="2"/>
  <c r="K14" i="2"/>
  <c r="K24" i="2"/>
  <c r="X102" i="2"/>
  <c r="M95" i="42"/>
  <c r="M15" i="42"/>
  <c r="M10" i="42"/>
  <c r="C108" i="2"/>
  <c r="T33" i="53"/>
  <c r="T41" i="53"/>
  <c r="L10" i="2"/>
  <c r="L12" i="2"/>
  <c r="M10" i="58"/>
  <c r="O24" i="2"/>
  <c r="S14" i="2"/>
  <c r="Q10" i="53"/>
  <c r="P24" i="2"/>
  <c r="T10" i="2"/>
  <c r="T12" i="2"/>
  <c r="O14" i="2"/>
  <c r="O47" i="2"/>
  <c r="Q33" i="53"/>
  <c r="L24" i="2"/>
  <c r="T14" i="2"/>
  <c r="U108" i="2"/>
  <c r="U109" i="2"/>
  <c r="N73" i="2"/>
  <c r="S73" i="2"/>
  <c r="T73" i="2"/>
  <c r="O73" i="2"/>
  <c r="M73" i="2"/>
  <c r="T13" i="42"/>
  <c r="T16" i="42"/>
  <c r="S53" i="42" a="1"/>
  <c r="S53" i="42"/>
  <c r="L50" i="42" a="1"/>
  <c r="L50" i="42"/>
  <c r="J108" i="2"/>
  <c r="J109" i="2"/>
  <c r="M109" i="2"/>
  <c r="P50" i="42" a="1"/>
  <c r="P50" i="42"/>
  <c r="U106" i="2"/>
  <c r="J107" i="2"/>
  <c r="M107" i="2"/>
  <c r="M108" i="2"/>
  <c r="J53" i="42" a="1"/>
  <c r="J53" i="42"/>
  <c r="J56" i="42" a="1"/>
  <c r="J56" i="42"/>
  <c r="J46" i="42"/>
  <c r="J55" i="42" s="1"/>
  <c r="J50" i="42" a="1"/>
  <c r="J50" i="42"/>
  <c r="O53" i="42" a="1"/>
  <c r="O53" i="42"/>
  <c r="Q53" i="42" a="1"/>
  <c r="Q53" i="42"/>
  <c r="N50" i="42" a="1"/>
  <c r="N50" i="42"/>
  <c r="T46" i="42"/>
  <c r="T55" i="42" s="1"/>
  <c r="T50" i="42" a="1"/>
  <c r="T50" i="42"/>
  <c r="R53" i="42" a="1"/>
  <c r="R53" i="42"/>
  <c r="K47" i="42" a="1"/>
  <c r="K47" i="42"/>
  <c r="K46" i="42"/>
  <c r="K55" i="42" s="1"/>
  <c r="K56" i="42" a="1"/>
  <c r="K56" i="42"/>
  <c r="K50" i="42" a="1"/>
  <c r="K50" i="42"/>
  <c r="K53" i="42" a="1"/>
  <c r="K53" i="42"/>
  <c r="W49" i="53"/>
  <c r="X60" i="2"/>
  <c r="L106" i="2"/>
  <c r="L108" i="2"/>
  <c r="L109" i="2"/>
  <c r="L107" i="2"/>
  <c r="K108" i="2"/>
  <c r="K107" i="2"/>
  <c r="K106" i="2"/>
  <c r="K109" i="2"/>
  <c r="C16" i="2" a="1"/>
  <c r="K12" i="2"/>
  <c r="C26" i="2" a="1"/>
  <c r="S108" i="2"/>
  <c r="S107" i="2"/>
  <c r="S106" i="2"/>
  <c r="S109" i="2"/>
  <c r="X47" i="2"/>
  <c r="N107" i="2"/>
  <c r="N108" i="2"/>
  <c r="N109" i="2"/>
  <c r="N106" i="2"/>
  <c r="O109" i="2"/>
  <c r="O107" i="2"/>
  <c r="O108" i="2"/>
  <c r="O106" i="2"/>
  <c r="M50" i="42" a="1"/>
  <c r="M50" i="42"/>
  <c r="M53" i="42" a="1"/>
  <c r="M53" i="42"/>
  <c r="X117" i="2"/>
  <c r="T107" i="2"/>
  <c r="T108" i="2"/>
  <c r="T109" i="2"/>
  <c r="T106" i="2"/>
  <c r="L46" i="42"/>
  <c r="L55" i="42" s="1"/>
  <c r="M46" i="42"/>
  <c r="N46" i="42"/>
  <c r="N55" i="42" s="1"/>
  <c r="R46" i="42"/>
  <c r="R55" i="42" s="1"/>
  <c r="S46" i="42"/>
  <c r="S55" i="42" s="1"/>
  <c r="C31" i="2"/>
  <c r="C27" i="2"/>
  <c r="C26" i="2"/>
  <c r="C29" i="2"/>
  <c r="C32" i="2"/>
  <c r="C30" i="2"/>
  <c r="C28" i="2"/>
  <c r="C16" i="2"/>
  <c r="J16" i="2"/>
  <c r="C17" i="2"/>
  <c r="C18" i="2"/>
  <c r="C21" i="2"/>
  <c r="C19" i="2"/>
  <c r="C20" i="2"/>
  <c r="C22" i="2"/>
  <c r="M47" i="42" a="1"/>
  <c r="M47" i="42"/>
  <c r="L47" i="42" a="1"/>
  <c r="L47" i="42"/>
  <c r="L56" i="42" a="1"/>
  <c r="L56" i="42"/>
  <c r="T47" i="42" a="1"/>
  <c r="T47" i="42"/>
  <c r="S47" i="42" a="1"/>
  <c r="S47" i="42"/>
  <c r="R47" i="42" a="1"/>
  <c r="R47" i="42"/>
  <c r="Q27" i="2"/>
  <c r="T27" i="2"/>
  <c r="E27" i="2"/>
  <c r="D27" i="2"/>
  <c r="S27" i="2"/>
  <c r="R27" i="2"/>
  <c r="O21" i="2"/>
  <c r="P21" i="2"/>
  <c r="P31" i="2"/>
  <c r="E21" i="2"/>
  <c r="D21" i="2"/>
  <c r="E31" i="2"/>
  <c r="T31" i="2"/>
  <c r="D31" i="2"/>
  <c r="Q31" i="2"/>
  <c r="S31" i="2"/>
  <c r="R31" i="2"/>
  <c r="D18" i="2"/>
  <c r="L18" i="2"/>
  <c r="M18" i="2"/>
  <c r="M28" i="2"/>
  <c r="E18" i="2"/>
  <c r="K17" i="2"/>
  <c r="K27" i="2"/>
  <c r="E17" i="2"/>
  <c r="D17" i="2"/>
  <c r="Q28" i="2"/>
  <c r="T28" i="2"/>
  <c r="S28" i="2"/>
  <c r="E28" i="2"/>
  <c r="D28" i="2"/>
  <c r="R28" i="2"/>
  <c r="K16" i="2"/>
  <c r="E16" i="2"/>
  <c r="D16" i="2"/>
  <c r="Q30" i="2"/>
  <c r="T30" i="2"/>
  <c r="E30" i="2"/>
  <c r="D30" i="2"/>
  <c r="S30" i="2"/>
  <c r="R30" i="2"/>
  <c r="E19" i="2"/>
  <c r="M19" i="2"/>
  <c r="N19" i="2"/>
  <c r="D19" i="2"/>
  <c r="Q32" i="2"/>
  <c r="D32" i="2"/>
  <c r="E32" i="2"/>
  <c r="S32" i="2"/>
  <c r="T32" i="2"/>
  <c r="R32" i="2"/>
  <c r="D22" i="2"/>
  <c r="E22" i="2"/>
  <c r="P22" i="2"/>
  <c r="O22" i="2"/>
  <c r="E29" i="2"/>
  <c r="D29" i="2"/>
  <c r="Q29" i="2"/>
  <c r="T29" i="2"/>
  <c r="S29" i="2"/>
  <c r="R29" i="2"/>
  <c r="N20" i="2"/>
  <c r="N30" i="2"/>
  <c r="D20" i="2"/>
  <c r="E20" i="2"/>
  <c r="D26" i="2"/>
  <c r="E26" i="2"/>
  <c r="Q26" i="2"/>
  <c r="T26" i="2"/>
  <c r="S26" i="2"/>
  <c r="R26" i="2"/>
  <c r="M56" i="42" a="1"/>
  <c r="M56" i="42"/>
  <c r="N22" i="2"/>
  <c r="O32" i="2"/>
  <c r="P32" i="2"/>
  <c r="T56" i="42" a="1"/>
  <c r="T56" i="42"/>
  <c r="S56" i="42" a="1"/>
  <c r="S56" i="42"/>
  <c r="R56" i="42" a="1"/>
  <c r="R56" i="42"/>
  <c r="T68" i="42"/>
  <c r="Q32" i="42"/>
  <c r="J32" i="42"/>
  <c r="N89" i="42"/>
  <c r="R68" i="42"/>
  <c r="K88" i="42"/>
  <c r="T32" i="42"/>
  <c r="N26" i="42"/>
  <c r="L89" i="42"/>
  <c r="R32" i="42"/>
  <c r="T23" i="42"/>
  <c r="K85" i="42"/>
  <c r="O26" i="42"/>
  <c r="Q23" i="42"/>
  <c r="S86" i="42"/>
  <c r="N32" i="42"/>
  <c r="P32" i="42"/>
  <c r="O29" i="42"/>
  <c r="L29" i="42"/>
  <c r="M88" i="42"/>
  <c r="L86" i="42"/>
  <c r="L85" i="42"/>
  <c r="N69" i="42"/>
  <c r="L26" i="42"/>
  <c r="N35" i="42"/>
  <c r="L35" i="42"/>
  <c r="N68" i="42"/>
  <c r="M68" i="42"/>
  <c r="R89" i="42"/>
  <c r="J29" i="42"/>
  <c r="S35" i="42"/>
  <c r="S89" i="42"/>
  <c r="K29" i="42"/>
  <c r="L88" i="42"/>
  <c r="S23" i="42"/>
  <c r="R35" i="42"/>
  <c r="K32" i="42"/>
  <c r="T89" i="42"/>
  <c r="R29" i="42"/>
  <c r="S29" i="42"/>
  <c r="R86" i="42"/>
  <c r="K86" i="42"/>
  <c r="T88" i="42"/>
  <c r="S69" i="42"/>
  <c r="J89" i="42"/>
  <c r="J68" i="42"/>
  <c r="M86" i="42"/>
  <c r="Q29" i="42"/>
  <c r="M89" i="42"/>
  <c r="N29" i="42"/>
  <c r="K89" i="42"/>
  <c r="K68" i="42"/>
  <c r="J85" i="42"/>
  <c r="L68" i="42"/>
  <c r="S68" i="42"/>
  <c r="P29" i="42"/>
  <c r="N86" i="42"/>
  <c r="N87" i="42"/>
  <c r="K23" i="42"/>
  <c r="R88" i="42"/>
  <c r="J17" i="2"/>
  <c r="J27" i="2"/>
  <c r="M20" i="2"/>
  <c r="L20" i="2"/>
  <c r="K20" i="2"/>
  <c r="L19" i="2"/>
  <c r="K19" i="2"/>
  <c r="K29" i="2"/>
  <c r="S88" i="42"/>
  <c r="N85" i="42"/>
  <c r="N88" i="42"/>
  <c r="S85" i="42"/>
  <c r="T26" i="42"/>
  <c r="M69" i="42"/>
  <c r="R26" i="42"/>
  <c r="T35" i="42"/>
  <c r="L32" i="42"/>
  <c r="R85" i="42"/>
  <c r="K35" i="42"/>
  <c r="O35" i="42"/>
  <c r="K87" i="42"/>
  <c r="S32" i="42"/>
  <c r="M85" i="42"/>
  <c r="K69" i="42"/>
  <c r="M87" i="42"/>
  <c r="Q35" i="42"/>
  <c r="J23" i="42"/>
  <c r="J88" i="42"/>
  <c r="S87" i="42"/>
  <c r="O32" i="42"/>
  <c r="T29" i="42"/>
  <c r="T69" i="42"/>
  <c r="R23" i="42"/>
  <c r="O23" i="42"/>
  <c r="P26" i="42"/>
  <c r="O31" i="2"/>
  <c r="N16" i="42"/>
  <c r="J26" i="2"/>
  <c r="J86" i="42"/>
  <c r="K26" i="42"/>
  <c r="T87" i="42"/>
  <c r="T85" i="42"/>
  <c r="P35" i="42"/>
  <c r="L23" i="42"/>
  <c r="Q26" i="42"/>
  <c r="L69" i="42"/>
  <c r="J69" i="42"/>
  <c r="R69" i="42"/>
  <c r="L87" i="42"/>
  <c r="J87" i="42"/>
  <c r="R87" i="42"/>
  <c r="N23" i="42"/>
  <c r="S26" i="42"/>
  <c r="J35" i="42"/>
  <c r="T86" i="42"/>
  <c r="P23" i="42"/>
  <c r="J26" i="42"/>
  <c r="K18" i="2"/>
  <c r="J18" i="2"/>
  <c r="J28" i="2"/>
  <c r="L28" i="2"/>
  <c r="K26" i="2"/>
  <c r="L16" i="2"/>
  <c r="O20" i="2"/>
  <c r="M29" i="2"/>
  <c r="L17" i="2"/>
  <c r="N29" i="2"/>
  <c r="O19" i="2"/>
  <c r="R13" i="42"/>
  <c r="R18" i="42" s="1"/>
  <c r="R16" i="42"/>
  <c r="P16" i="42"/>
  <c r="P13" i="42"/>
  <c r="P18" i="42" s="1"/>
  <c r="P37" i="42" s="1"/>
  <c r="P39" i="42" s="1"/>
  <c r="N18" i="2"/>
  <c r="O16" i="42"/>
  <c r="O13" i="42"/>
  <c r="O18" i="42" s="1"/>
  <c r="S13" i="42"/>
  <c r="S18" i="42" s="1"/>
  <c r="S16" i="42"/>
  <c r="N21" i="2"/>
  <c r="Q16" i="42"/>
  <c r="L64" i="42"/>
  <c r="K67" i="42"/>
  <c r="J65" i="42"/>
  <c r="R63" i="42"/>
  <c r="S62" i="42"/>
  <c r="L65" i="42"/>
  <c r="O30" i="2"/>
  <c r="P20" i="2"/>
  <c r="P30" i="2"/>
  <c r="O29" i="2"/>
  <c r="P19" i="2"/>
  <c r="P29" i="2"/>
  <c r="M22" i="2"/>
  <c r="N32" i="2"/>
  <c r="L29" i="2"/>
  <c r="L91" i="42"/>
  <c r="J19" i="2"/>
  <c r="J29" i="2"/>
  <c r="L30" i="2"/>
  <c r="M30" i="2"/>
  <c r="T91" i="42"/>
  <c r="N13" i="42"/>
  <c r="N18" i="42" s="1"/>
  <c r="R91" i="42"/>
  <c r="J91" i="42"/>
  <c r="K91" i="42"/>
  <c r="N91" i="42"/>
  <c r="S91" i="42"/>
  <c r="M91" i="42"/>
  <c r="K28" i="2"/>
  <c r="M17" i="2"/>
  <c r="L27" i="2"/>
  <c r="M16" i="2"/>
  <c r="L26" i="2"/>
  <c r="K30" i="2"/>
  <c r="J20" i="2"/>
  <c r="J30" i="2"/>
  <c r="N28" i="2"/>
  <c r="O18" i="2"/>
  <c r="M21" i="2"/>
  <c r="N31" i="2"/>
  <c r="R65" i="42"/>
  <c r="T64" i="42"/>
  <c r="T66" i="42"/>
  <c r="M66" i="42"/>
  <c r="S67" i="42"/>
  <c r="K64" i="42"/>
  <c r="T62" i="42"/>
  <c r="T65" i="42"/>
  <c r="J66" i="42"/>
  <c r="M67" i="42"/>
  <c r="L63" i="42"/>
  <c r="L62" i="42"/>
  <c r="N67" i="42"/>
  <c r="M64" i="42"/>
  <c r="M63" i="42"/>
  <c r="T63" i="42"/>
  <c r="N66" i="42"/>
  <c r="K62" i="42"/>
  <c r="S65" i="42"/>
  <c r="J64" i="42"/>
  <c r="J67" i="42"/>
  <c r="M62" i="42"/>
  <c r="S63" i="42"/>
  <c r="R66" i="42"/>
  <c r="T67" i="42"/>
  <c r="J62" i="42"/>
  <c r="N63" i="42"/>
  <c r="M65" i="42"/>
  <c r="S64" i="42"/>
  <c r="K63" i="42"/>
  <c r="N64" i="42"/>
  <c r="L67" i="42"/>
  <c r="J63" i="42"/>
  <c r="K66" i="42"/>
  <c r="R62" i="42"/>
  <c r="N65" i="42"/>
  <c r="R67" i="42"/>
  <c r="R64" i="42"/>
  <c r="K65" i="42"/>
  <c r="S66" i="42"/>
  <c r="L66" i="42"/>
  <c r="N62" i="42"/>
  <c r="O28" i="2"/>
  <c r="P18" i="2"/>
  <c r="P28" i="2"/>
  <c r="M32" i="2"/>
  <c r="L22" i="2"/>
  <c r="N16" i="2"/>
  <c r="M26" i="2"/>
  <c r="M27" i="2"/>
  <c r="N17" i="2"/>
  <c r="M16" i="42"/>
  <c r="L21" i="2"/>
  <c r="M31" i="2"/>
  <c r="Q13" i="42"/>
  <c r="Q18" i="42" s="1"/>
  <c r="L79" i="42"/>
  <c r="J79" i="42"/>
  <c r="M79" i="42"/>
  <c r="K79" i="42"/>
  <c r="T79" i="42"/>
  <c r="N79" i="42"/>
  <c r="S79" i="42"/>
  <c r="R79" i="42"/>
  <c r="L13" i="42"/>
  <c r="L18" i="42" s="1"/>
  <c r="L32" i="2"/>
  <c r="K22" i="2"/>
  <c r="O17" i="2"/>
  <c r="N27" i="2"/>
  <c r="N26" i="2"/>
  <c r="O16" i="2"/>
  <c r="P16" i="2"/>
  <c r="P26" i="2"/>
  <c r="K21" i="2"/>
  <c r="L31" i="2"/>
  <c r="L16" i="42"/>
  <c r="O27" i="2"/>
  <c r="P17" i="2"/>
  <c r="P27" i="2"/>
  <c r="K32" i="2"/>
  <c r="J22" i="2"/>
  <c r="J32" i="2"/>
  <c r="O26" i="2"/>
  <c r="K13" i="42"/>
  <c r="K18" i="42" s="1"/>
  <c r="K16" i="42"/>
  <c r="J21" i="2"/>
  <c r="J31" i="2"/>
  <c r="K31" i="2"/>
  <c r="J13" i="42"/>
  <c r="J18" i="42" s="1"/>
  <c r="J37" i="42" s="1"/>
  <c r="J16" i="42"/>
  <c r="N20" i="42"/>
  <c r="L20" i="42"/>
  <c r="M20" i="42"/>
  <c r="N98" i="42"/>
  <c r="N99" i="42"/>
  <c r="M98" i="42"/>
  <c r="M99" i="42"/>
  <c r="N97" i="42"/>
  <c r="M97" i="42"/>
  <c r="R98" i="42"/>
  <c r="T98" i="42"/>
  <c r="T99" i="42"/>
  <c r="T97" i="42"/>
  <c r="R97" i="42"/>
  <c r="S98" i="42"/>
  <c r="S97" i="42"/>
  <c r="R99" i="42"/>
  <c r="S99" i="42"/>
  <c r="I71" i="55"/>
  <c r="V71" i="55"/>
  <c r="I73" i="55"/>
  <c r="V73" i="55"/>
  <c r="I72" i="55"/>
  <c r="V72" i="55"/>
  <c r="I75" i="55"/>
  <c r="V75" i="55"/>
  <c r="I77" i="55"/>
  <c r="V77" i="55"/>
  <c r="I76" i="55"/>
  <c r="V76" i="55"/>
  <c r="V1" i="55"/>
  <c r="G11" i="16"/>
  <c r="P77" i="2"/>
  <c r="Q77" i="2"/>
  <c r="P73" i="2"/>
  <c r="X73" i="2"/>
  <c r="T1" i="2"/>
  <c r="G13" i="16"/>
  <c r="R77" i="2"/>
  <c r="Q73" i="2"/>
  <c r="S77" i="2"/>
  <c r="R73" i="2"/>
  <c r="R108" i="2"/>
  <c r="R106" i="2"/>
  <c r="R107" i="2"/>
  <c r="R109" i="2"/>
  <c r="Q108" i="2"/>
  <c r="Q109" i="2"/>
  <c r="Q106" i="2"/>
  <c r="Q107" i="2"/>
  <c r="P106" i="2"/>
  <c r="P108" i="2"/>
  <c r="P109" i="2"/>
  <c r="P107" i="2"/>
  <c r="P46" i="42"/>
  <c r="P55" i="42" s="1"/>
  <c r="O46" i="42"/>
  <c r="O55" i="42" s="1"/>
  <c r="Q46" i="42"/>
  <c r="Q55" i="42" s="1"/>
  <c r="C71" i="42"/>
  <c r="C72" i="42"/>
  <c r="C73" i="42"/>
  <c r="C74" i="42"/>
  <c r="C75" i="42"/>
  <c r="C76" i="42"/>
  <c r="C77" i="42"/>
  <c r="C88" i="42"/>
  <c r="C87" i="42"/>
  <c r="C86" i="42"/>
  <c r="C89" i="42"/>
  <c r="C70" i="42"/>
  <c r="C69" i="42"/>
  <c r="C68" i="42"/>
  <c r="C67" i="42"/>
  <c r="C66" i="42"/>
  <c r="C65" i="42"/>
  <c r="C64" i="42"/>
  <c r="C63" i="42"/>
  <c r="C62" i="42"/>
  <c r="C85" i="42"/>
  <c r="P71" i="42"/>
  <c r="P77" i="42"/>
  <c r="P65" i="42"/>
  <c r="P75" i="42"/>
  <c r="P69" i="42"/>
  <c r="O71" i="42"/>
  <c r="O77" i="42"/>
  <c r="O75" i="42"/>
  <c r="O65" i="42"/>
  <c r="O69" i="42"/>
  <c r="Q69" i="42"/>
  <c r="Q65" i="42"/>
  <c r="Q77" i="42"/>
  <c r="Q71" i="42"/>
  <c r="Q75" i="42"/>
  <c r="P63" i="42"/>
  <c r="P86" i="42"/>
  <c r="P88" i="42"/>
  <c r="P74" i="42"/>
  <c r="P87" i="42"/>
  <c r="P76" i="42"/>
  <c r="P68" i="42"/>
  <c r="P66" i="42"/>
  <c r="P73" i="42"/>
  <c r="P67" i="42"/>
  <c r="P89" i="42"/>
  <c r="P70" i="42"/>
  <c r="P72" i="42"/>
  <c r="P64" i="42"/>
  <c r="O74" i="42"/>
  <c r="O66" i="42"/>
  <c r="O88" i="42"/>
  <c r="O63" i="42"/>
  <c r="O67" i="42"/>
  <c r="O87" i="42"/>
  <c r="O76" i="42"/>
  <c r="O68" i="42"/>
  <c r="O89" i="42"/>
  <c r="O86" i="42"/>
  <c r="O72" i="42"/>
  <c r="O73" i="42"/>
  <c r="O70" i="42"/>
  <c r="O64" i="42"/>
  <c r="Q87" i="42"/>
  <c r="Q76" i="42"/>
  <c r="Q68" i="42"/>
  <c r="Q74" i="42"/>
  <c r="Q66" i="42"/>
  <c r="Q73" i="42"/>
  <c r="Q89" i="42"/>
  <c r="Q70" i="42"/>
  <c r="Q72" i="42"/>
  <c r="Q86" i="42"/>
  <c r="Q67" i="42"/>
  <c r="Q64" i="42"/>
  <c r="Q88" i="42"/>
  <c r="Q63" i="42"/>
  <c r="Q28" i="44"/>
  <c r="P41" i="53"/>
  <c r="P85" i="42"/>
  <c r="P91" i="42"/>
  <c r="O28" i="44"/>
  <c r="O85" i="42"/>
  <c r="O91" i="42"/>
  <c r="O41" i="53"/>
  <c r="P28" i="44"/>
  <c r="P29" i="53"/>
  <c r="P62" i="42"/>
  <c r="O29" i="53"/>
  <c r="O62" i="42"/>
  <c r="Q85" i="42"/>
  <c r="Q91" i="42"/>
  <c r="Q41" i="53"/>
  <c r="Q62" i="42"/>
  <c r="Q29" i="53"/>
  <c r="W41" i="53"/>
  <c r="W29" i="53"/>
  <c r="S1" i="53"/>
  <c r="G14" i="16"/>
  <c r="S1" i="16"/>
  <c r="P79" i="42"/>
  <c r="P23" i="44"/>
  <c r="Q23" i="44"/>
  <c r="Q79" i="42"/>
  <c r="O23" i="44"/>
  <c r="O79" i="42"/>
  <c r="W1" i="42"/>
  <c r="Y1" i="59"/>
  <c r="X1" i="2"/>
  <c r="V1" i="53"/>
  <c r="V1" i="54"/>
  <c r="V1" i="4"/>
  <c r="V1" i="58"/>
  <c r="W1" i="44"/>
  <c r="Y1" i="55"/>
  <c r="P47" i="42" l="1" a="1"/>
  <c r="P47" i="42" s="1"/>
  <c r="O47" i="42" a="1"/>
  <c r="O47" i="42" s="1"/>
  <c r="L37" i="42"/>
  <c r="L39" i="42" s="1"/>
  <c r="Q37" i="42"/>
  <c r="Q39" i="42" s="1"/>
  <c r="N37" i="42"/>
  <c r="N39" i="42" s="1"/>
  <c r="S37" i="42"/>
  <c r="S39" i="42" s="1"/>
  <c r="R37" i="42"/>
  <c r="R39" i="42" s="1"/>
  <c r="O37" i="42"/>
  <c r="O39" i="42" s="1"/>
  <c r="K37" i="42"/>
  <c r="K39" i="42" s="1"/>
  <c r="M37" i="42"/>
  <c r="M39" i="42" s="1"/>
  <c r="J39" i="42"/>
  <c r="Q47" i="42" a="1"/>
  <c r="Q47" i="42" s="1"/>
  <c r="N47" i="42" a="1"/>
  <c r="N47" i="42" s="1"/>
  <c r="M55" i="42"/>
  <c r="O56" i="42" s="1" a="1"/>
  <c r="O56" i="42" s="1"/>
  <c r="O97" i="42" l="1"/>
  <c r="O98" i="42"/>
  <c r="O22" i="44"/>
  <c r="Q22" i="44"/>
  <c r="Q27" i="44"/>
  <c r="P22" i="44"/>
  <c r="P27" i="44"/>
  <c r="O27" i="44"/>
  <c r="P56" i="42" a="1"/>
  <c r="P56" i="42" s="1"/>
  <c r="Q56" i="42" a="1"/>
  <c r="Q56" i="42" s="1"/>
  <c r="N56" i="42" a="1"/>
  <c r="N56" i="42" s="1"/>
  <c r="Q97" i="42" l="1"/>
  <c r="Q98" i="42"/>
  <c r="O38" i="44"/>
  <c r="O47" i="44"/>
  <c r="O57" i="44"/>
  <c r="O39" i="44"/>
  <c r="O58" i="44"/>
  <c r="O64" i="44"/>
  <c r="O40" i="44"/>
  <c r="O50" i="44"/>
  <c r="O59" i="44"/>
  <c r="O45" i="44"/>
  <c r="O56" i="44"/>
  <c r="O13" i="44"/>
  <c r="O41" i="44"/>
  <c r="O51" i="44"/>
  <c r="O29" i="44"/>
  <c r="O24" i="44"/>
  <c r="O52" i="44"/>
  <c r="O62" i="44"/>
  <c r="O99" i="42"/>
  <c r="O44" i="44"/>
  <c r="O53" i="44"/>
  <c r="O63" i="44"/>
  <c r="O46" i="44"/>
  <c r="O65" i="44"/>
  <c r="P98" i="42"/>
  <c r="P97" i="42"/>
  <c r="O25" i="44" l="1"/>
  <c r="O30" i="44"/>
  <c r="O60" i="44"/>
  <c r="O48" i="44"/>
  <c r="O54" i="44"/>
  <c r="Q39" i="44"/>
  <c r="Q58" i="44"/>
  <c r="Q40" i="44"/>
  <c r="Q50" i="44"/>
  <c r="Q59" i="44"/>
  <c r="Q13" i="44"/>
  <c r="Q56" i="44"/>
  <c r="Q41" i="44"/>
  <c r="Q51" i="44"/>
  <c r="Q24" i="44"/>
  <c r="Q29" i="44"/>
  <c r="Q38" i="44"/>
  <c r="Q52" i="44"/>
  <c r="Q62" i="44"/>
  <c r="Q65" i="44"/>
  <c r="Q47" i="44"/>
  <c r="Q99" i="42"/>
  <c r="Q44" i="44"/>
  <c r="Q53" i="44"/>
  <c r="Q63" i="44"/>
  <c r="Q45" i="44"/>
  <c r="Q64" i="44"/>
  <c r="Q46" i="44"/>
  <c r="Q57" i="44"/>
  <c r="O66" i="44"/>
  <c r="P44" i="44"/>
  <c r="P53" i="44"/>
  <c r="P63" i="44"/>
  <c r="P29" i="44"/>
  <c r="P45" i="44"/>
  <c r="P64" i="44"/>
  <c r="P41" i="44"/>
  <c r="P52" i="44"/>
  <c r="P46" i="44"/>
  <c r="P56" i="44"/>
  <c r="P65" i="44"/>
  <c r="P51" i="44"/>
  <c r="P24" i="44"/>
  <c r="P99" i="42"/>
  <c r="P38" i="44"/>
  <c r="P47" i="44"/>
  <c r="P57" i="44"/>
  <c r="P39" i="44"/>
  <c r="P58" i="44"/>
  <c r="P40" i="44"/>
  <c r="P50" i="44"/>
  <c r="P59" i="44"/>
  <c r="P13" i="44"/>
  <c r="P62" i="44"/>
  <c r="O42" i="44"/>
  <c r="O32" i="44" l="1"/>
  <c r="O34" i="44" s="1"/>
  <c r="Q30" i="44"/>
  <c r="Q25" i="44"/>
  <c r="P25" i="44"/>
  <c r="P30" i="44"/>
  <c r="P66" i="44"/>
  <c r="O68" i="44"/>
  <c r="O70" i="44" s="1"/>
  <c r="P54" i="44"/>
  <c r="P42" i="44"/>
  <c r="Q60" i="44"/>
  <c r="Q66" i="44"/>
  <c r="P60" i="44"/>
  <c r="P48" i="44"/>
  <c r="Q42" i="44"/>
  <c r="Q54" i="44"/>
  <c r="Q48" i="44"/>
  <c r="P32" i="44" l="1"/>
  <c r="P34" i="44" s="1"/>
  <c r="Q32" i="44"/>
  <c r="Q34" i="44" s="1"/>
  <c r="P68" i="44"/>
  <c r="P70" i="44" s="1"/>
  <c r="Q68" i="44"/>
  <c r="Q70" i="4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<sst xmlns="http://schemas.openxmlformats.org/spreadsheetml/2006/main" count="933" uniqueCount="271">
  <si>
    <t>AER opex model - version: NTESMO 2024-27</t>
  </si>
  <si>
    <t>Index</t>
  </si>
  <si>
    <t>Model index</t>
  </si>
  <si>
    <t>Sheet Name</t>
  </si>
  <si>
    <t>Sheet Description</t>
  </si>
  <si>
    <t>Input | General</t>
  </si>
  <si>
    <t>Inputs NSP name, regulatory years for the prior and forecast regulatory control period etc.</t>
  </si>
  <si>
    <t>Input | Inflation</t>
  </si>
  <si>
    <t>Inputs inflation data.</t>
  </si>
  <si>
    <t>Input | PWC</t>
  </si>
  <si>
    <t>Inputs providing adjusted base year detail by cost category and function</t>
  </si>
  <si>
    <t>Input | Reported opex</t>
  </si>
  <si>
    <r>
      <t>Inputs the reported operating expenditure (</t>
    </r>
    <r>
      <rPr>
        <b/>
        <i/>
        <sz val="8"/>
        <color indexed="8"/>
        <rFont val="Arial"/>
        <family val="2"/>
      </rPr>
      <t>opex</t>
    </r>
    <r>
      <rPr>
        <i/>
        <sz val="8"/>
        <color indexed="8"/>
        <rFont val="Arial"/>
        <family val="2"/>
      </rPr>
      <t>) from the prior regulatory control period.</t>
    </r>
  </si>
  <si>
    <t>Input | Rate of change</t>
  </si>
  <si>
    <t>Inputs the cost escalation weights, cost escalation forecast, and inflation actuals and forecast. Sheet used when the rate of change is applied from the final year.</t>
  </si>
  <si>
    <t>Input | Step changes</t>
  </si>
  <si>
    <r>
      <t>Inputs the operating expenditure (</t>
    </r>
    <r>
      <rPr>
        <b/>
        <i/>
        <sz val="8"/>
        <color indexed="8"/>
        <rFont val="Arial"/>
        <family val="2"/>
      </rPr>
      <t>opex</t>
    </r>
    <r>
      <rPr>
        <i/>
        <sz val="8"/>
        <color indexed="8"/>
        <rFont val="Arial"/>
        <family val="2"/>
      </rPr>
      <t>) data, including historical opex by category, one-off costs, step changes, demand forecasts, carbon costs, self insurance, network growth, and partial factor productivity</t>
    </r>
  </si>
  <si>
    <t>Calc | Opex Forecast</t>
  </si>
  <si>
    <t>Calculates the opex forecast. Sheet used when the rate of change is applied from the final year.</t>
  </si>
  <si>
    <t>Output | Models</t>
  </si>
  <si>
    <t>Outputs the forecasts needed as a post tax revenue model inputs. Sheet used when the rate of change is applied from the final year.</t>
  </si>
  <si>
    <t>Lookup | Tables</t>
  </si>
  <si>
    <t>Includes the lookup tables used within this opex model.</t>
  </si>
  <si>
    <t>Check | List</t>
  </si>
  <si>
    <t>Shows checks on the calculations within the model</t>
  </si>
  <si>
    <t>Change Log - Adaption of AER Model for NTESMO</t>
  </si>
  <si>
    <t>Change Description</t>
  </si>
  <si>
    <t>Input|PWC</t>
  </si>
  <si>
    <t>This worksheet was inserted by PowerWater to provide more detail regarding the composition of the base year and applicable base year adjustments.</t>
  </si>
  <si>
    <t>Input|Step changes</t>
  </si>
  <si>
    <t>PowerWater increased the number of rows within the section 'Input |Step changes' to allow a higher degree of transparency for step changes.</t>
  </si>
  <si>
    <t>Columns G, H and I were modified to include allocations of step changes and specific forecasts to sub service, service and cost categories for reporting purposes.</t>
  </si>
  <si>
    <t>Calc|Opex forecast</t>
  </si>
  <si>
    <t>Rows were inserted within the 'Calc | Step changes' section as a consequence of changes made to 'Input|Step changes'</t>
  </si>
  <si>
    <t>Output|Models</t>
  </si>
  <si>
    <t>Additional outputs were added from row 20 onwards to account for NTESMO requiring separate building blocks for System Control and Market Operator.</t>
  </si>
  <si>
    <t>The formulas in row 13 to 18 were removed and replaced with a simple link back to the 'Calc|Opex forecast' outputs. NTESMO does not need to report specific forecasts as separate line items in the PTRM.</t>
  </si>
  <si>
    <t>End</t>
  </si>
  <si>
    <t>Back to Index</t>
  </si>
  <si>
    <t>Key:</t>
  </si>
  <si>
    <t>Input</t>
  </si>
  <si>
    <t>External Link</t>
  </si>
  <si>
    <t>Internal Link</t>
  </si>
  <si>
    <t>Worksheet check:</t>
  </si>
  <si>
    <t>Overall Check:</t>
  </si>
  <si>
    <t>Input | General inputs</t>
  </si>
  <si>
    <t>Inputs</t>
  </si>
  <si>
    <t>Source</t>
  </si>
  <si>
    <t>Value</t>
  </si>
  <si>
    <t>NSP name</t>
  </si>
  <si>
    <t>NSP</t>
  </si>
  <si>
    <t>NTESMO</t>
  </si>
  <si>
    <t>Decision stage</t>
  </si>
  <si>
    <t>AER</t>
  </si>
  <si>
    <t>Revised proposal</t>
  </si>
  <si>
    <t>Year ending</t>
  </si>
  <si>
    <t>Previous regulatory control period, first year</t>
  </si>
  <si>
    <t>Forecast base year</t>
  </si>
  <si>
    <t>Previous regulatory control period, last year</t>
  </si>
  <si>
    <t>Forecast regulatory control period, first year</t>
  </si>
  <si>
    <t>Forecast regulatory control period, last year</t>
  </si>
  <si>
    <t>Units</t>
  </si>
  <si>
    <t>$millions</t>
  </si>
  <si>
    <t>Index value, new base</t>
  </si>
  <si>
    <t>Percentage Change from Corresponding Quarter of Previous Year</t>
  </si>
  <si>
    <t>Forecast annual CPI growth</t>
  </si>
  <si>
    <t>Forecast and actual index value</t>
  </si>
  <si>
    <t>ABS</t>
  </si>
  <si>
    <t>Calculated</t>
  </si>
  <si>
    <t>RBA</t>
  </si>
  <si>
    <t>Unit</t>
  </si>
  <si>
    <t>index</t>
  </si>
  <si>
    <t>Percent</t>
  </si>
  <si>
    <t>Input | Raw Base Year by cost category and function</t>
  </si>
  <si>
    <t>Cost category</t>
  </si>
  <si>
    <t>Basis</t>
  </si>
  <si>
    <t>Market Operations (MO)</t>
  </si>
  <si>
    <t>NTEM Development (MO)</t>
  </si>
  <si>
    <t>Market Operator</t>
  </si>
  <si>
    <t>Operations Planning (SC)</t>
  </si>
  <si>
    <t>Power System Evolution (SC)</t>
  </si>
  <si>
    <t>Real Time Operations (SC)</t>
  </si>
  <si>
    <t>System Control</t>
  </si>
  <si>
    <t>Total NTESMO</t>
  </si>
  <si>
    <t>Personnel Costs</t>
  </si>
  <si>
    <t>as at 31 Dec 2022</t>
  </si>
  <si>
    <t>Professional Fees</t>
  </si>
  <si>
    <t>Residual Costs</t>
  </si>
  <si>
    <t>Expensed Corporate Overheads</t>
  </si>
  <si>
    <t>Total</t>
  </si>
  <si>
    <t>Proportion pre adjustments (% of Total)</t>
  </si>
  <si>
    <t>Input | Base Year Adjustments by cost category and function</t>
  </si>
  <si>
    <t>Base Year Adjustment</t>
  </si>
  <si>
    <t>Capex Personnel</t>
  </si>
  <si>
    <t>Back-pay Journal</t>
  </si>
  <si>
    <t>Adjustments for one-off expenditure</t>
  </si>
  <si>
    <t>Personnel Activity Reallocation</t>
  </si>
  <si>
    <t>Removal of Corporate Overheads</t>
  </si>
  <si>
    <t>Sub Total</t>
  </si>
  <si>
    <t>N/A</t>
  </si>
  <si>
    <t>Total Base Year Adjustments</t>
  </si>
  <si>
    <t>Calculation | Adjusted Base Year by cost category and function</t>
  </si>
  <si>
    <t>Proportion post adjustments (% of Total)</t>
  </si>
  <si>
    <t>Expected Adjusted Base Year (Real 2024 End Period)</t>
  </si>
  <si>
    <t>Input | Opex allowances</t>
  </si>
  <si>
    <t>Notes</t>
  </si>
  <si>
    <t>Total opex</t>
  </si>
  <si>
    <t>AER PTRM for the current control period.</t>
  </si>
  <si>
    <t>Allowances related to category specific forecasts</t>
  </si>
  <si>
    <t>Debt raising costs</t>
  </si>
  <si>
    <t>These inputs should be entered as positive values.</t>
  </si>
  <si>
    <t>Total opex, categories forecast specifically</t>
  </si>
  <si>
    <t>Actual</t>
  </si>
  <si>
    <t>RIN</t>
  </si>
  <si>
    <t>nominal</t>
  </si>
  <si>
    <t>Categories of opex to be excluded from forecast opex (excluding category specific forecasts)</t>
  </si>
  <si>
    <t>Total opex to be trended</t>
  </si>
  <si>
    <t>Expenditure related to category specific forecasts</t>
  </si>
  <si>
    <t>Input | Adjustments</t>
  </si>
  <si>
    <t>Adjustment</t>
  </si>
  <si>
    <t>External</t>
  </si>
  <si>
    <t>Adjustments can be positive or negative.</t>
  </si>
  <si>
    <t>Non-recurrent efficiency gain in the base year</t>
  </si>
  <si>
    <t>Efficiency adjustment</t>
  </si>
  <si>
    <t>Per cent</t>
  </si>
  <si>
    <t>Inflation</t>
  </si>
  <si>
    <t>calculated</t>
  </si>
  <si>
    <t>CPI indexes (real to real)</t>
  </si>
  <si>
    <t>CPI indexes (nominal to real)</t>
  </si>
  <si>
    <t>Input | Forecast price change</t>
  </si>
  <si>
    <t>Forecast price change</t>
  </si>
  <si>
    <t>WPI - KPMG forecast</t>
  </si>
  <si>
    <t>external</t>
  </si>
  <si>
    <t>WPI - Oxford Economics Australia (OEA) forecast</t>
  </si>
  <si>
    <t>WPI - average</t>
  </si>
  <si>
    <t>Superannuation guarantee increases</t>
  </si>
  <si>
    <t>WPI - average + super guarantee increases</t>
  </si>
  <si>
    <t>CPI</t>
  </si>
  <si>
    <t>Check</t>
  </si>
  <si>
    <t>Ok/Check</t>
  </si>
  <si>
    <t>n/a</t>
  </si>
  <si>
    <t>Weights</t>
  </si>
  <si>
    <t>Input | Forecast output growth</t>
  </si>
  <si>
    <t>Output measure</t>
  </si>
  <si>
    <t>number</t>
  </si>
  <si>
    <t>Growth rate</t>
  </si>
  <si>
    <t>Output elasticities</t>
  </si>
  <si>
    <t>[Spare 1]</t>
  </si>
  <si>
    <t>[Spare 2]</t>
  </si>
  <si>
    <t>[Spare 3]</t>
  </si>
  <si>
    <t>[Spare 4]</t>
  </si>
  <si>
    <t>Output weights</t>
  </si>
  <si>
    <t>–</t>
  </si>
  <si>
    <t>Forecast output growth</t>
  </si>
  <si>
    <t>Input | Forecast productivity</t>
  </si>
  <si>
    <t>Partial factor productivity</t>
  </si>
  <si>
    <t>Input |Step changes</t>
  </si>
  <si>
    <t>Step change</t>
  </si>
  <si>
    <t>Sub Service</t>
  </si>
  <si>
    <t>Service Allocation</t>
  </si>
  <si>
    <t>Cost Category</t>
  </si>
  <si>
    <t>Input | Category specific forecasts</t>
  </si>
  <si>
    <t>Category specific forecasts</t>
  </si>
  <si>
    <t>Input | Debt raising costs</t>
  </si>
  <si>
    <t>Debt Raising Costs</t>
  </si>
  <si>
    <t>PTRM</t>
  </si>
  <si>
    <t>Calc | Estimated final year expenditure</t>
  </si>
  <si>
    <t>Reported opex, total</t>
  </si>
  <si>
    <t>Inputs|Reported opex</t>
  </si>
  <si>
    <t>Reported opex, category specific forecasts</t>
  </si>
  <si>
    <t>Reported base year opex</t>
  </si>
  <si>
    <t>Remove base year opex for categories forecast specifically</t>
  </si>
  <si>
    <t>Adjusted base year opex</t>
  </si>
  <si>
    <t>Calc | Total forecast operating expenditure</t>
  </si>
  <si>
    <t>Rate of change</t>
  </si>
  <si>
    <t>Forecast output change, year-on-year</t>
  </si>
  <si>
    <t>Forecast output change, cumulative</t>
  </si>
  <si>
    <t>Forecast price change, year-on-year</t>
  </si>
  <si>
    <t>Forecast price change, cumulative</t>
  </si>
  <si>
    <t>Forecast productivity change, year-on-year</t>
  </si>
  <si>
    <t>Forecast productivity change, cumulative</t>
  </si>
  <si>
    <t>Forecast rate of change, year-on-year</t>
  </si>
  <si>
    <t>Forecast rate of change, cumulative</t>
  </si>
  <si>
    <t>Calc | Step changes</t>
  </si>
  <si>
    <t>Step changes</t>
  </si>
  <si>
    <t>Total step changes</t>
  </si>
  <si>
    <t>Calc | Category specific forecasts</t>
  </si>
  <si>
    <t>Total category specific forecasts</t>
  </si>
  <si>
    <t>Total forecast opex, excluding category specific forecasts</t>
  </si>
  <si>
    <t>Total forecast opex, excluding debt raising costs</t>
  </si>
  <si>
    <t>Total forecast opex, including debt raising costs</t>
  </si>
  <si>
    <t>Inputs for Post Tax Revenue Model</t>
  </si>
  <si>
    <t>Note. The dollar base should be consistent with the post tax revenue model</t>
  </si>
  <si>
    <t>Operating expenditure</t>
  </si>
  <si>
    <t>Calc | Opex forecast</t>
  </si>
  <si>
    <t>Operating expenditure by Driver and Service</t>
  </si>
  <si>
    <t>Base</t>
  </si>
  <si>
    <t>Step</t>
  </si>
  <si>
    <t>Trend</t>
  </si>
  <si>
    <t>Operating expenditure by Cost Category and Sub Service</t>
  </si>
  <si>
    <t>Stage</t>
  </si>
  <si>
    <t>Ref</t>
  </si>
  <si>
    <t>Pre-submission</t>
  </si>
  <si>
    <t>Network</t>
  </si>
  <si>
    <t>Proposal</t>
  </si>
  <si>
    <t>Draft decision</t>
  </si>
  <si>
    <t>Final decision</t>
  </si>
  <si>
    <t>Unit Denominations</t>
  </si>
  <si>
    <t>Dollars</t>
  </si>
  <si>
    <t>$dollars</t>
  </si>
  <si>
    <t>Thousands</t>
  </si>
  <si>
    <t>$000</t>
  </si>
  <si>
    <t>Millions</t>
  </si>
  <si>
    <t>unit</t>
  </si>
  <si>
    <t>Number</t>
  </si>
  <si>
    <t>Factor</t>
  </si>
  <si>
    <t>factor</t>
  </si>
  <si>
    <t>Estimate</t>
  </si>
  <si>
    <t>Business Function</t>
  </si>
  <si>
    <t>Business Function 1</t>
  </si>
  <si>
    <t>Business Function 2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</si>
  <si>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</si>
  <si>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</si>
  <si>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</si>
  <si>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</si>
  <si>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</si>
  <si>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</si>
  <si>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</si>
  <si>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</si>
  <si>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</si>
  <si>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</si>
  <si>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</si>
  <si>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</si>
  <si>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</si>
  <si>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</si>
  <si>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</si>
  <si>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</si>
  <si>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</si>
  <si>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Regulatory years</t>
  </si>
  <si>
    <t>Year</t>
  </si>
  <si>
    <t>Previous period year 0</t>
  </si>
  <si>
    <t>Previous period year 1</t>
  </si>
  <si>
    <t>Previous period year 2</t>
  </si>
  <si>
    <t>Previous period year 3</t>
  </si>
  <si>
    <t>Previous period year 4</t>
  </si>
  <si>
    <t>Previous period year 5</t>
  </si>
  <si>
    <t>Previous period year 6</t>
  </si>
  <si>
    <t>Forecast period year 1</t>
  </si>
  <si>
    <t>Forecast period year 2</t>
  </si>
  <si>
    <t>Forecast period year 3</t>
  </si>
  <si>
    <t>Forecast period year 4</t>
  </si>
  <si>
    <t>Forecast period year 5</t>
  </si>
  <si>
    <t>Check List</t>
  </si>
  <si>
    <t>Sheet</t>
  </si>
  <si>
    <t>Status</t>
  </si>
  <si>
    <t>Market Operations (MO) - Personnel Costs</t>
  </si>
  <si>
    <t>Market Operations (MO) - Professional Fees</t>
  </si>
  <si>
    <t>Market Operations (MO) - Other Entity Costs</t>
  </si>
  <si>
    <t>NTEM Development (MO) - Personnel Costs</t>
  </si>
  <si>
    <t>NTEM Development (MO) - Professional Fees</t>
  </si>
  <si>
    <t>NTEM Development (MO) - Other Entity Costs</t>
  </si>
  <si>
    <t>Operations Planning (SC) - Personnel Costs</t>
  </si>
  <si>
    <t>Power System Evolution (SC) - Personnel Costs</t>
  </si>
  <si>
    <t>Power System Evolution (SC) - Professional Fees</t>
  </si>
  <si>
    <t>Power System Evolution (SC) - Other Entity Costs</t>
  </si>
  <si>
    <t>Real Time Operations (SC) - Personnel Costs</t>
  </si>
  <si>
    <t>Market Operations (MO) - Corporate Allocation-Indirect</t>
  </si>
  <si>
    <t>NTEM Development (MO) - Corporate Allocation-Indirect</t>
  </si>
  <si>
    <t>Operations Planning (SC) - Corporate Allocation-Indirect</t>
  </si>
  <si>
    <t>Power System Evolution (SC) - Corporate Allocation-Indirect</t>
  </si>
  <si>
    <t>Real Time Operations (SC) - Corporate Allocation-Indirect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</si>
</sst>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7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0.00%;\–0.00%;&quot;–&quot;"/>
    <numFmt numFmtId="210" formatCode="0.000000_ ;\-0.000000\ "/>
  </numFmts>
  <fonts count="97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  <font>
      <sz val="8"/>
      <color rgb="FF0070C0"/>
      <name val="Arial"/>
      <family val="2"/>
    </font>
  </fonts>
  <fills count="53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FF99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07">
    <xf numFmtId="0" fontId="0" fillId="0" borderId="0"/>
    <xf numFmtId="170" fontId="7" fillId="7" borderId="0" applyProtection="0"/>
    <xf numFmtId="9" fontId="1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9" fontId="17" fillId="0" borderId="0" applyFont="0" applyFill="0" applyBorder="0" applyAlignment="0" applyProtection="0"/>
    <xf numFmtId="171" fontId="16" fillId="0" borderId="5">
      <alignment horizontal="right" vertical="center"/>
      <protection locked="0"/>
    </xf>
    <xf numFmtId="166" fontId="14" fillId="0" borderId="0" applyFon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8" fontId="16" fillId="0" borderId="0"/>
    <xf numFmtId="178" fontId="16" fillId="0" borderId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7" fillId="0" borderId="0"/>
    <xf numFmtId="167" fontId="28" fillId="0" borderId="0" applyFont="0" applyFill="0" applyBorder="0" applyAlignment="0" applyProtection="0"/>
    <xf numFmtId="0" fontId="29" fillId="30" borderId="0" applyNumberFormat="0" applyBorder="0" applyAlignment="0" applyProtection="0"/>
    <xf numFmtId="0" fontId="30" fillId="0" borderId="0" applyNumberFormat="0" applyFill="0" applyBorder="0" applyAlignment="0"/>
    <xf numFmtId="164" fontId="23" fillId="4" borderId="0" applyNumberFormat="0" applyFont="0" applyBorder="0" applyAlignment="0">
      <alignment horizontal="right"/>
    </xf>
    <xf numFmtId="164" fontId="23" fillId="4" borderId="0" applyNumberFormat="0" applyFont="0" applyBorder="0" applyAlignment="0">
      <alignment horizontal="right"/>
    </xf>
    <xf numFmtId="0" fontId="31" fillId="0" borderId="0" applyNumberFormat="0" applyFill="0" applyBorder="0" applyAlignment="0">
      <protection locked="0"/>
    </xf>
    <xf numFmtId="0" fontId="32" fillId="14" borderId="11" applyNumberFormat="0" applyAlignment="0" applyProtection="0"/>
    <xf numFmtId="0" fontId="33" fillId="31" borderId="12" applyNumberFormat="0" applyAlignment="0" applyProtection="0"/>
    <xf numFmtId="164" fontId="2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3" fontId="3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180" fontId="2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39" fillId="0" borderId="0"/>
    <xf numFmtId="0" fontId="40" fillId="0" borderId="0"/>
    <xf numFmtId="0" fontId="41" fillId="35" borderId="0" applyNumberFormat="0" applyBorder="0" applyAlignment="0" applyProtection="0"/>
    <xf numFmtId="0" fontId="25" fillId="0" borderId="0" applyFill="0" applyBorder="0">
      <alignment vertical="center"/>
    </xf>
    <xf numFmtId="0" fontId="42" fillId="0" borderId="13" applyNumberFormat="0" applyFill="0" applyAlignment="0" applyProtection="0"/>
    <xf numFmtId="0" fontId="25" fillId="0" borderId="0" applyFill="0" applyBorder="0">
      <alignment vertical="center"/>
    </xf>
    <xf numFmtId="0" fontId="43" fillId="0" borderId="0" applyFill="0" applyBorder="0">
      <alignment vertical="center"/>
    </xf>
    <xf numFmtId="0" fontId="44" fillId="0" borderId="14" applyNumberFormat="0" applyFill="0" applyAlignment="0" applyProtection="0"/>
    <xf numFmtId="0" fontId="43" fillId="0" borderId="0" applyFill="0" applyBorder="0">
      <alignment vertical="center"/>
    </xf>
    <xf numFmtId="0" fontId="13" fillId="0" borderId="0" applyFill="0" applyBorder="0">
      <alignment vertical="center"/>
    </xf>
    <xf numFmtId="0" fontId="45" fillId="0" borderId="15" applyNumberFormat="0" applyFill="0" applyAlignment="0" applyProtection="0"/>
    <xf numFmtId="0" fontId="13" fillId="0" borderId="0" applyFill="0" applyBorder="0">
      <alignment vertical="center"/>
    </xf>
    <xf numFmtId="0" fontId="16" fillId="0" borderId="0" applyFill="0" applyBorder="0">
      <alignment vertical="center"/>
    </xf>
    <xf numFmtId="0" fontId="45" fillId="0" borderId="0" applyNumberFormat="0" applyFill="0" applyBorder="0" applyAlignment="0" applyProtection="0"/>
    <xf numFmtId="0" fontId="16" fillId="0" borderId="0" applyFill="0" applyBorder="0">
      <alignment vertical="center"/>
    </xf>
    <xf numFmtId="182" fontId="46" fillId="0" borderId="0"/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Fill="0" applyBorder="0">
      <alignment horizontal="center" vertical="center"/>
      <protection locked="0"/>
    </xf>
    <xf numFmtId="0" fontId="49" fillId="0" borderId="0" applyFill="0" applyBorder="0">
      <alignment horizontal="left" vertical="center"/>
      <protection locked="0"/>
    </xf>
    <xf numFmtId="0" fontId="50" fillId="12" borderId="11" applyNumberFormat="0" applyAlignment="0" applyProtection="0"/>
    <xf numFmtId="164" fontId="23" fillId="36" borderId="0" applyFont="0" applyBorder="0" applyAlignment="0">
      <alignment horizontal="right"/>
      <protection locked="0"/>
    </xf>
    <xf numFmtId="164" fontId="23" fillId="36" borderId="0" applyFont="0" applyBorder="0" applyAlignment="0">
      <alignment horizontal="right"/>
      <protection locked="0"/>
    </xf>
    <xf numFmtId="183" fontId="23" fillId="6" borderId="0" applyFont="0" applyBorder="0">
      <alignment horizontal="right"/>
      <protection locked="0"/>
    </xf>
    <xf numFmtId="183" fontId="23" fillId="6" borderId="0" applyFont="0" applyBorder="0">
      <alignment horizontal="right"/>
      <protection locked="0"/>
    </xf>
    <xf numFmtId="164" fontId="23" fillId="10" borderId="0" applyFont="0" applyBorder="0">
      <alignment horizontal="right"/>
      <protection locked="0"/>
    </xf>
    <xf numFmtId="164" fontId="23" fillId="10" borderId="0" applyFont="0" applyBorder="0">
      <alignment horizontal="right"/>
      <protection locked="0"/>
    </xf>
    <xf numFmtId="0" fontId="16" fillId="4" borderId="0"/>
    <xf numFmtId="0" fontId="51" fillId="0" borderId="16" applyNumberFormat="0" applyFill="0" applyAlignment="0" applyProtection="0"/>
    <xf numFmtId="184" fontId="52" fillId="0" borderId="0"/>
    <xf numFmtId="0" fontId="53" fillId="0" borderId="0" applyFill="0" applyBorder="0">
      <alignment horizontal="left" vertical="center"/>
    </xf>
    <xf numFmtId="0" fontId="54" fillId="15" borderId="0" applyNumberFormat="0" applyBorder="0" applyAlignment="0" applyProtection="0"/>
    <xf numFmtId="185" fontId="5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3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8" fillId="0" borderId="0"/>
    <xf numFmtId="0" fontId="23" fillId="3" borderId="0"/>
    <xf numFmtId="0" fontId="56" fillId="0" borderId="0"/>
    <xf numFmtId="0" fontId="23" fillId="0" borderId="0"/>
    <xf numFmtId="0" fontId="23" fillId="0" borderId="0"/>
    <xf numFmtId="0" fontId="23" fillId="13" borderId="17" applyNumberFormat="0" applyFont="0" applyAlignment="0" applyProtection="0"/>
    <xf numFmtId="0" fontId="57" fillId="14" borderId="18" applyNumberFormat="0" applyAlignment="0" applyProtection="0"/>
    <xf numFmtId="186" fontId="23" fillId="0" borderId="0" applyFill="0" applyBorder="0"/>
    <xf numFmtId="186" fontId="23" fillId="0" borderId="0" applyFill="0" applyBorder="0"/>
    <xf numFmtId="186" fontId="23" fillId="0" borderId="0" applyFill="0" applyBorder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82" fontId="58" fillId="0" borderId="0"/>
    <xf numFmtId="0" fontId="13" fillId="0" borderId="0" applyFill="0" applyBorder="0">
      <alignment vertical="center"/>
    </xf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187" fontId="59" fillId="0" borderId="19"/>
    <xf numFmtId="0" fontId="60" fillId="0" borderId="20">
      <alignment horizontal="center"/>
    </xf>
    <xf numFmtId="3" fontId="34" fillId="0" borderId="0" applyFont="0" applyFill="0" applyBorder="0" applyAlignment="0" applyProtection="0"/>
    <xf numFmtId="0" fontId="34" fillId="37" borderId="0" applyNumberFormat="0" applyFont="0" applyBorder="0" applyAlignment="0" applyProtection="0"/>
    <xf numFmtId="188" fontId="23" fillId="0" borderId="0"/>
    <xf numFmtId="188" fontId="23" fillId="0" borderId="0"/>
    <xf numFmtId="188" fontId="23" fillId="0" borderId="0"/>
    <xf numFmtId="189" fontId="16" fillId="0" borderId="0" applyFill="0" applyBorder="0">
      <alignment horizontal="right" vertical="center"/>
    </xf>
    <xf numFmtId="190" fontId="16" fillId="0" borderId="0" applyFill="0" applyBorder="0">
      <alignment horizontal="right" vertical="center"/>
    </xf>
    <xf numFmtId="191" fontId="16" fillId="0" borderId="0" applyFill="0" applyBorder="0">
      <alignment horizontal="right" vertical="center"/>
    </xf>
    <xf numFmtId="0" fontId="23" fillId="13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14" borderId="0" applyNumberFormat="0" applyFont="0" applyBorder="0" applyAlignment="0" applyProtection="0"/>
    <xf numFmtId="0" fontId="23" fillId="14" borderId="0" applyNumberFormat="0" applyFont="0" applyBorder="0" applyAlignment="0" applyProtection="0"/>
    <xf numFmtId="0" fontId="23" fillId="16" borderId="0" applyNumberFormat="0" applyFont="0" applyBorder="0" applyAlignment="0" applyProtection="0"/>
    <xf numFmtId="0" fontId="23" fillId="16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16" borderId="0" applyNumberFormat="0" applyFont="0" applyBorder="0" applyAlignment="0" applyProtection="0"/>
    <xf numFmtId="0" fontId="23" fillId="16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Border="0" applyAlignment="0" applyProtection="0"/>
    <xf numFmtId="0" fontId="23" fillId="0" borderId="0" applyNumberFormat="0" applyFont="0" applyBorder="0" applyAlignment="0" applyProtection="0"/>
    <xf numFmtId="0" fontId="61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53" fillId="0" borderId="0"/>
    <xf numFmtId="0" fontId="62" fillId="0" borderId="0"/>
    <xf numFmtId="15" fontId="23" fillId="0" borderId="0"/>
    <xf numFmtId="15" fontId="23" fillId="0" borderId="0"/>
    <xf numFmtId="15" fontId="23" fillId="0" borderId="0"/>
    <xf numFmtId="10" fontId="23" fillId="0" borderId="0"/>
    <xf numFmtId="10" fontId="23" fillId="0" borderId="0"/>
    <xf numFmtId="10" fontId="23" fillId="0" borderId="0"/>
    <xf numFmtId="0" fontId="63" fillId="9" borderId="7" applyBorder="0" applyProtection="0">
      <alignment horizontal="centerContinuous" vertical="center"/>
    </xf>
    <xf numFmtId="0" fontId="64" fillId="0" borderId="0" applyBorder="0" applyProtection="0">
      <alignment vertical="center"/>
    </xf>
    <xf numFmtId="0" fontId="65" fillId="0" borderId="0">
      <alignment horizontal="left"/>
    </xf>
    <xf numFmtId="0" fontId="65" fillId="0" borderId="10" applyFill="0" applyBorder="0" applyProtection="0">
      <alignment horizontal="left" vertical="top"/>
    </xf>
    <xf numFmtId="49" fontId="23" fillId="0" borderId="0" applyFont="0" applyFill="0" applyBorder="0" applyAlignment="0" applyProtection="0"/>
    <xf numFmtId="0" fontId="66" fillId="0" borderId="0"/>
    <xf numFmtId="49" fontId="23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184" fontId="68" fillId="0" borderId="0"/>
    <xf numFmtId="0" fontId="61" fillId="0" borderId="0" applyNumberFormat="0" applyFill="0" applyBorder="0" applyAlignment="0" applyProtection="0"/>
    <xf numFmtId="0" fontId="69" fillId="0" borderId="0" applyFill="0" applyBorder="0">
      <alignment horizontal="left" vertical="center"/>
      <protection locked="0"/>
    </xf>
    <xf numFmtId="0" fontId="66" fillId="0" borderId="0"/>
    <xf numFmtId="0" fontId="70" fillId="0" borderId="0" applyFill="0" applyBorder="0">
      <alignment horizontal="left" vertical="center"/>
      <protection locked="0"/>
    </xf>
    <xf numFmtId="0" fontId="37" fillId="0" borderId="21" applyNumberFormat="0" applyFill="0" applyAlignment="0" applyProtection="0"/>
    <xf numFmtId="0" fontId="71" fillId="0" borderId="0" applyNumberFormat="0" applyFill="0" applyBorder="0" applyAlignment="0" applyProtection="0"/>
    <xf numFmtId="192" fontId="23" fillId="0" borderId="7" applyBorder="0" applyProtection="0">
      <alignment horizontal="right"/>
    </xf>
    <xf numFmtId="192" fontId="23" fillId="0" borderId="7" applyBorder="0" applyProtection="0">
      <alignment horizontal="right"/>
    </xf>
    <xf numFmtId="192" fontId="23" fillId="0" borderId="7" applyBorder="0" applyProtection="0">
      <alignment horizontal="right"/>
    </xf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77" fillId="42" borderId="0"/>
    <xf numFmtId="202" fontId="78" fillId="0" borderId="22">
      <alignment horizontal="center"/>
    </xf>
    <xf numFmtId="0" fontId="79" fillId="43" borderId="6">
      <alignment horizontal="center" vertical="center"/>
    </xf>
    <xf numFmtId="0" fontId="23" fillId="44" borderId="11"/>
    <xf numFmtId="0" fontId="80" fillId="0" borderId="0" applyFill="0" applyBorder="0"/>
    <xf numFmtId="0" fontId="81" fillId="0" borderId="0" applyNumberFormat="0" applyFill="0"/>
    <xf numFmtId="0" fontId="82" fillId="0" borderId="0" applyFill="0"/>
    <xf numFmtId="0" fontId="83" fillId="0" borderId="0" applyFill="0"/>
    <xf numFmtId="0" fontId="84" fillId="0" borderId="0" applyFill="0"/>
    <xf numFmtId="0" fontId="77" fillId="45" borderId="0"/>
    <xf numFmtId="0" fontId="23" fillId="38" borderId="23" applyNumberFormat="0" applyFont="0" applyAlignment="0"/>
    <xf numFmtId="0" fontId="85" fillId="7" borderId="24" applyNumberFormat="0"/>
    <xf numFmtId="0" fontId="86" fillId="46" borderId="0"/>
    <xf numFmtId="0" fontId="87" fillId="46" borderId="0" applyNumberFormat="0"/>
    <xf numFmtId="0" fontId="88" fillId="46" borderId="0"/>
    <xf numFmtId="0" fontId="89" fillId="47" borderId="6" applyNumberFormat="0">
      <alignment horizontal="center" vertical="center"/>
    </xf>
    <xf numFmtId="0" fontId="90" fillId="48" borderId="11" applyNumberFormat="0" applyAlignment="0">
      <alignment horizontal="right"/>
    </xf>
    <xf numFmtId="0" fontId="25" fillId="38" borderId="23" applyNumberFormat="0" applyAlignment="0"/>
    <xf numFmtId="0" fontId="78" fillId="0" borderId="0" applyNumberFormat="0" applyFill="0" applyBorder="0"/>
    <xf numFmtId="0" fontId="91" fillId="49" borderId="23" applyNumberFormat="0">
      <protection locked="0"/>
    </xf>
    <xf numFmtId="0" fontId="4" fillId="0" borderId="0"/>
    <xf numFmtId="0" fontId="93" fillId="50" borderId="27">
      <alignment vertical="center"/>
    </xf>
    <xf numFmtId="166" fontId="14" fillId="0" borderId="0" applyFont="0" applyFill="0" applyBorder="0" applyAlignment="0" applyProtection="0"/>
    <xf numFmtId="166" fontId="23" fillId="0" borderId="0" applyFont="0" applyFill="0" applyBorder="0" applyAlignment="0" applyProtection="0"/>
    <xf numFmtId="164" fontId="23" fillId="4" borderId="0" applyNumberFormat="0" applyFont="0" applyBorder="0" applyAlignment="0">
      <alignment horizontal="right"/>
    </xf>
    <xf numFmtId="164" fontId="23" fillId="4" borderId="0" applyNumberFormat="0" applyFont="0" applyBorder="0" applyAlignment="0">
      <alignment horizontal="right"/>
    </xf>
    <xf numFmtId="166" fontId="2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4" fontId="23" fillId="36" borderId="0" applyFont="0" applyBorder="0" applyAlignment="0">
      <alignment horizontal="right"/>
      <protection locked="0"/>
    </xf>
    <xf numFmtId="164" fontId="23" fillId="36" borderId="0" applyFont="0" applyBorder="0" applyAlignment="0">
      <alignment horizontal="right"/>
      <protection locked="0"/>
    </xf>
    <xf numFmtId="164" fontId="23" fillId="10" borderId="0" applyFont="0" applyBorder="0">
      <alignment horizontal="right"/>
      <protection locked="0"/>
    </xf>
    <xf numFmtId="164" fontId="23" fillId="10" borderId="0" applyFont="0" applyBorder="0">
      <alignment horizontal="right"/>
      <protection locked="0"/>
    </xf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165" fontId="94" fillId="0" borderId="0" applyFont="0" applyFill="0" applyBorder="0" applyAlignment="0" applyProtection="0"/>
    <xf numFmtId="0" fontId="3" fillId="0" borderId="0"/>
    <xf numFmtId="166" fontId="94" fillId="0" borderId="0" applyFont="0" applyFill="0" applyBorder="0" applyAlignment="0" applyProtection="0"/>
    <xf numFmtId="0" fontId="94" fillId="0" borderId="0"/>
    <xf numFmtId="207" fontId="23" fillId="0" borderId="0" applyFill="0" applyBorder="0">
      <alignment vertical="center"/>
    </xf>
    <xf numFmtId="0" fontId="2" fillId="0" borderId="0"/>
    <xf numFmtId="0" fontId="1" fillId="0" borderId="0"/>
  </cellStyleXfs>
  <cellXfs count="211">
    <xf numFmtId="0" fontId="0" fillId="0" borderId="0" xfId="0"/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6" fillId="2" borderId="1" xfId="0" applyFont="1" applyFill="1" applyBorder="1"/>
    <xf numFmtId="168" fontId="7" fillId="3" borderId="0" xfId="0" applyNumberFormat="1" applyFont="1" applyFill="1"/>
    <xf numFmtId="168" fontId="8" fillId="0" borderId="0" xfId="0" applyNumberFormat="1" applyFont="1"/>
    <xf numFmtId="168" fontId="7" fillId="0" borderId="0" xfId="0" applyNumberFormat="1" applyFont="1"/>
    <xf numFmtId="168" fontId="9" fillId="0" borderId="0" xfId="0" applyNumberFormat="1" applyFont="1"/>
    <xf numFmtId="168" fontId="10" fillId="0" borderId="0" xfId="0" applyNumberFormat="1" applyFont="1"/>
    <xf numFmtId="0" fontId="7" fillId="5" borderId="0" xfId="0" applyFont="1" applyFill="1"/>
    <xf numFmtId="0" fontId="7" fillId="6" borderId="0" xfId="0" applyFont="1" applyFill="1"/>
    <xf numFmtId="168" fontId="13" fillId="0" borderId="0" xfId="0" applyNumberFormat="1" applyFont="1"/>
    <xf numFmtId="168" fontId="9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 indent="1"/>
    </xf>
    <xf numFmtId="168" fontId="8" fillId="0" borderId="0" xfId="0" applyNumberFormat="1" applyFont="1" applyAlignment="1">
      <alignment horizontal="center"/>
    </xf>
    <xf numFmtId="168" fontId="0" fillId="0" borderId="0" xfId="0" applyNumberFormat="1"/>
    <xf numFmtId="166" fontId="13" fillId="0" borderId="6" xfId="0" applyNumberFormat="1" applyFont="1" applyBorder="1" applyAlignment="1">
      <alignment horizontal="center"/>
    </xf>
    <xf numFmtId="168" fontId="18" fillId="0" borderId="0" xfId="3" applyNumberFormat="1" applyFont="1" applyAlignment="1" applyProtection="1"/>
    <xf numFmtId="168" fontId="8" fillId="3" borderId="0" xfId="0" applyNumberFormat="1" applyFont="1" applyFill="1"/>
    <xf numFmtId="168" fontId="19" fillId="0" borderId="0" xfId="0" applyNumberFormat="1" applyFont="1" applyAlignment="1">
      <alignment horizontal="center"/>
    </xf>
    <xf numFmtId="168" fontId="8" fillId="3" borderId="0" xfId="0" applyNumberFormat="1" applyFont="1" applyFill="1" applyAlignment="1">
      <alignment horizontal="center"/>
    </xf>
    <xf numFmtId="174" fontId="13" fillId="0" borderId="0" xfId="5" applyNumberFormat="1" applyFont="1" applyBorder="1" applyAlignment="1" applyProtection="1">
      <alignment horizontal="center" vertical="center"/>
    </xf>
    <xf numFmtId="175" fontId="7" fillId="0" borderId="0" xfId="0" applyNumberFormat="1" applyFont="1"/>
    <xf numFmtId="168" fontId="18" fillId="0" borderId="0" xfId="3" applyNumberFormat="1" applyFont="1" applyAlignment="1" applyProtection="1">
      <alignment horizontal="center"/>
    </xf>
    <xf numFmtId="0" fontId="72" fillId="38" borderId="0" xfId="0" applyFont="1" applyFill="1" applyAlignment="1">
      <alignment horizontal="left" vertical="center"/>
    </xf>
    <xf numFmtId="0" fontId="72" fillId="38" borderId="0" xfId="0" applyFont="1" applyFill="1" applyAlignment="1">
      <alignment horizontal="left" indent="9"/>
    </xf>
    <xf numFmtId="0" fontId="73" fillId="38" borderId="0" xfId="0" applyFont="1" applyFill="1"/>
    <xf numFmtId="0" fontId="0" fillId="38" borderId="0" xfId="0" applyFill="1"/>
    <xf numFmtId="0" fontId="0" fillId="38" borderId="0" xfId="0" applyFill="1" applyAlignment="1">
      <alignment horizontal="right"/>
    </xf>
    <xf numFmtId="166" fontId="24" fillId="38" borderId="0" xfId="0" applyNumberFormat="1" applyFont="1" applyFill="1" applyAlignment="1">
      <alignment horizontal="center"/>
    </xf>
    <xf numFmtId="0" fontId="74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5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5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4" fillId="39" borderId="4" xfId="0" applyFont="1" applyFill="1" applyBorder="1"/>
    <xf numFmtId="169" fontId="7" fillId="41" borderId="3" xfId="0" applyNumberFormat="1" applyFont="1" applyFill="1" applyBorder="1" applyAlignment="1" applyProtection="1">
      <alignment horizontal="center"/>
      <protection locked="0"/>
    </xf>
    <xf numFmtId="0" fontId="76" fillId="39" borderId="4" xfId="0" applyFont="1" applyFill="1" applyBorder="1"/>
    <xf numFmtId="0" fontId="74" fillId="38" borderId="0" xfId="0" applyFont="1" applyFill="1" applyAlignment="1">
      <alignment horizontal="left"/>
    </xf>
    <xf numFmtId="0" fontId="74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7" fillId="40" borderId="0" xfId="0" applyFont="1" applyFill="1" applyAlignment="1">
      <alignment horizontal="center"/>
    </xf>
    <xf numFmtId="168" fontId="19" fillId="0" borderId="0" xfId="0" applyNumberFormat="1" applyFont="1" applyAlignment="1">
      <alignment horizontal="center" wrapText="1"/>
    </xf>
    <xf numFmtId="193" fontId="7" fillId="41" borderId="3" xfId="0" applyNumberFormat="1" applyFont="1" applyFill="1" applyBorder="1" applyAlignment="1" applyProtection="1">
      <alignment horizontal="center"/>
      <protection locked="0"/>
    </xf>
    <xf numFmtId="197" fontId="7" fillId="0" borderId="0" xfId="0" applyNumberFormat="1" applyFont="1" applyAlignment="1">
      <alignment horizontal="left"/>
    </xf>
    <xf numFmtId="195" fontId="7" fillId="0" borderId="0" xfId="0" applyNumberFormat="1" applyFont="1"/>
    <xf numFmtId="168" fontId="8" fillId="0" borderId="0" xfId="0" applyNumberFormat="1" applyFont="1" applyAlignment="1">
      <alignment horizontal="center" wrapText="1"/>
    </xf>
    <xf numFmtId="168" fontId="20" fillId="40" borderId="9" xfId="0" applyNumberFormat="1" applyFont="1" applyFill="1" applyBorder="1" applyAlignment="1" applyProtection="1">
      <alignment horizontal="center"/>
      <protection locked="0"/>
    </xf>
    <xf numFmtId="0" fontId="74" fillId="38" borderId="1" xfId="0" applyFont="1" applyFill="1" applyBorder="1" applyAlignment="1">
      <alignment horizontal="left" indent="9"/>
    </xf>
    <xf numFmtId="0" fontId="24" fillId="38" borderId="2" xfId="0" applyFont="1" applyFill="1" applyBorder="1"/>
    <xf numFmtId="0" fontId="75" fillId="38" borderId="2" xfId="0" applyFont="1" applyFill="1" applyBorder="1"/>
    <xf numFmtId="0" fontId="75" fillId="39" borderId="4" xfId="0" applyFont="1" applyFill="1" applyBorder="1"/>
    <xf numFmtId="0" fontId="75" fillId="39" borderId="4" xfId="0" applyFont="1" applyFill="1" applyBorder="1" applyAlignment="1">
      <alignment horizontal="center"/>
    </xf>
    <xf numFmtId="0" fontId="20" fillId="39" borderId="4" xfId="0" applyFont="1" applyFill="1" applyBorder="1" applyAlignment="1">
      <alignment horizontal="center" vertical="center"/>
    </xf>
    <xf numFmtId="0" fontId="20" fillId="39" borderId="4" xfId="0" applyFont="1" applyFill="1" applyBorder="1" applyAlignment="1">
      <alignment vertical="center"/>
    </xf>
    <xf numFmtId="0" fontId="75" fillId="39" borderId="4" xfId="0" applyFont="1" applyFill="1" applyBorder="1" applyAlignment="1">
      <alignment wrapText="1"/>
    </xf>
    <xf numFmtId="165" fontId="20" fillId="39" borderId="4" xfId="0" applyNumberFormat="1" applyFont="1" applyFill="1" applyBorder="1" applyAlignment="1">
      <alignment horizontal="center" wrapText="1"/>
    </xf>
    <xf numFmtId="0" fontId="75" fillId="3" borderId="0" xfId="0" applyFont="1" applyFill="1" applyAlignment="1">
      <alignment wrapText="1"/>
    </xf>
    <xf numFmtId="0" fontId="75" fillId="3" borderId="0" xfId="0" applyFont="1" applyFill="1"/>
    <xf numFmtId="0" fontId="75" fillId="0" borderId="0" xfId="0" applyFont="1"/>
    <xf numFmtId="168" fontId="7" fillId="0" borderId="0" xfId="0" applyNumberFormat="1" applyFont="1" applyAlignment="1">
      <alignment horizontal="center"/>
    </xf>
    <xf numFmtId="168" fontId="18" fillId="0" borderId="0" xfId="3" applyNumberFormat="1" applyFont="1" applyFill="1" applyAlignment="1" applyProtection="1">
      <alignment horizontal="center"/>
    </xf>
    <xf numFmtId="198" fontId="7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center"/>
    </xf>
    <xf numFmtId="168" fontId="9" fillId="0" borderId="8" xfId="0" applyNumberFormat="1" applyFont="1" applyBorder="1" applyAlignment="1">
      <alignment horizontal="left" indent="1"/>
    </xf>
    <xf numFmtId="168" fontId="8" fillId="0" borderId="8" xfId="0" applyNumberFormat="1" applyFont="1" applyBorder="1" applyAlignment="1">
      <alignment horizontal="center"/>
    </xf>
    <xf numFmtId="198" fontId="9" fillId="0" borderId="0" xfId="0" applyNumberFormat="1" applyFont="1" applyAlignment="1">
      <alignment horizontal="center"/>
    </xf>
    <xf numFmtId="168" fontId="8" fillId="0" borderId="0" xfId="0" applyNumberFormat="1" applyFont="1" applyAlignment="1">
      <alignment horizontal="left"/>
    </xf>
    <xf numFmtId="10" fontId="7" fillId="0" borderId="0" xfId="2" applyNumberFormat="1" applyFont="1" applyAlignment="1" applyProtection="1">
      <alignment horizontal="center"/>
    </xf>
    <xf numFmtId="168" fontId="9" fillId="0" borderId="8" xfId="0" applyNumberFormat="1" applyFont="1" applyBorder="1"/>
    <xf numFmtId="176" fontId="7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 indent="2"/>
    </xf>
    <xf numFmtId="168" fontId="19" fillId="0" borderId="8" xfId="0" applyNumberFormat="1" applyFont="1" applyBorder="1" applyAlignment="1">
      <alignment horizontal="center"/>
    </xf>
    <xf numFmtId="168" fontId="9" fillId="0" borderId="0" xfId="0" applyNumberFormat="1" applyFont="1" applyAlignment="1">
      <alignment horizontal="left" indent="1"/>
    </xf>
    <xf numFmtId="195" fontId="9" fillId="0" borderId="0" xfId="0" applyNumberFormat="1" applyFont="1" applyAlignment="1">
      <alignment horizontal="center"/>
    </xf>
    <xf numFmtId="201" fontId="7" fillId="0" borderId="0" xfId="0" applyNumberFormat="1" applyFont="1" applyAlignment="1">
      <alignment horizontal="center"/>
    </xf>
    <xf numFmtId="201" fontId="9" fillId="0" borderId="0" xfId="0" applyNumberFormat="1" applyFont="1" applyAlignment="1">
      <alignment horizontal="center"/>
    </xf>
    <xf numFmtId="166" fontId="13" fillId="0" borderId="3" xfId="0" applyNumberFormat="1" applyFont="1" applyBorder="1" applyAlignment="1">
      <alignment horizontal="center"/>
    </xf>
    <xf numFmtId="166" fontId="13" fillId="0" borderId="0" xfId="0" applyNumberFormat="1" applyFont="1" applyAlignment="1">
      <alignment horizontal="center"/>
    </xf>
    <xf numFmtId="0" fontId="11" fillId="38" borderId="2" xfId="0" applyFont="1" applyFill="1" applyBorder="1"/>
    <xf numFmtId="0" fontId="12" fillId="38" borderId="2" xfId="0" applyFont="1" applyFill="1" applyBorder="1" applyAlignment="1">
      <alignment horizontal="center"/>
    </xf>
    <xf numFmtId="0" fontId="12" fillId="38" borderId="2" xfId="0" applyFont="1" applyFill="1" applyBorder="1"/>
    <xf numFmtId="168" fontId="9" fillId="0" borderId="7" xfId="0" applyNumberFormat="1" applyFont="1" applyBorder="1"/>
    <xf numFmtId="168" fontId="7" fillId="0" borderId="7" xfId="0" applyNumberFormat="1" applyFont="1" applyBorder="1"/>
    <xf numFmtId="10" fontId="7" fillId="0" borderId="0" xfId="2" applyNumberFormat="1" applyFont="1" applyBorder="1" applyAlignment="1" applyProtection="1">
      <alignment horizontal="center"/>
    </xf>
    <xf numFmtId="176" fontId="7" fillId="0" borderId="0" xfId="0" applyNumberFormat="1" applyFont="1"/>
    <xf numFmtId="200" fontId="9" fillId="0" borderId="0" xfId="0" applyNumberFormat="1" applyFont="1" applyAlignment="1">
      <alignment horizontal="center"/>
    </xf>
    <xf numFmtId="168" fontId="7" fillId="0" borderId="0" xfId="0" applyNumberFormat="1" applyFont="1" applyProtection="1">
      <protection locked="0"/>
    </xf>
    <xf numFmtId="203" fontId="7" fillId="41" borderId="3" xfId="0" applyNumberFormat="1" applyFont="1" applyFill="1" applyBorder="1" applyAlignment="1" applyProtection="1">
      <alignment horizontal="center"/>
      <protection locked="0"/>
    </xf>
    <xf numFmtId="1" fontId="7" fillId="41" borderId="3" xfId="0" applyNumberFormat="1" applyFont="1" applyFill="1" applyBorder="1" applyAlignment="1" applyProtection="1">
      <alignment horizontal="center"/>
      <protection locked="0"/>
    </xf>
    <xf numFmtId="204" fontId="75" fillId="39" borderId="4" xfId="0" applyNumberFormat="1" applyFont="1" applyFill="1" applyBorder="1" applyAlignment="1">
      <alignment horizontal="center" wrapText="1"/>
    </xf>
    <xf numFmtId="204" fontId="92" fillId="38" borderId="2" xfId="0" applyNumberFormat="1" applyFont="1" applyFill="1" applyBorder="1" applyAlignment="1">
      <alignment horizontal="center"/>
    </xf>
    <xf numFmtId="204" fontId="75" fillId="38" borderId="2" xfId="0" applyNumberFormat="1" applyFont="1" applyFill="1" applyBorder="1" applyAlignment="1">
      <alignment horizontal="left"/>
    </xf>
    <xf numFmtId="204" fontId="7" fillId="0" borderId="0" xfId="0" applyNumberFormat="1" applyFont="1" applyAlignment="1">
      <alignment horizontal="left" indent="1"/>
    </xf>
    <xf numFmtId="204" fontId="8" fillId="0" borderId="0" xfId="0" applyNumberFormat="1" applyFont="1" applyAlignment="1">
      <alignment horizontal="center"/>
    </xf>
    <xf numFmtId="204" fontId="9" fillId="0" borderId="0" xfId="0" applyNumberFormat="1" applyFont="1" applyAlignment="1">
      <alignment horizontal="center"/>
    </xf>
    <xf numFmtId="168" fontId="15" fillId="0" borderId="0" xfId="3" applyNumberFormat="1" applyAlignment="1" applyProtection="1">
      <alignment horizontal="center"/>
    </xf>
    <xf numFmtId="0" fontId="75" fillId="38" borderId="25" xfId="0" applyFont="1" applyFill="1" applyBorder="1"/>
    <xf numFmtId="204" fontId="19" fillId="0" borderId="0" xfId="0" applyNumberFormat="1" applyFont="1" applyAlignment="1">
      <alignment horizontal="center"/>
    </xf>
    <xf numFmtId="168" fontId="9" fillId="0" borderId="7" xfId="0" applyNumberFormat="1" applyFont="1" applyBorder="1" applyAlignment="1">
      <alignment horizontal="left" indent="1"/>
    </xf>
    <xf numFmtId="204" fontId="8" fillId="0" borderId="7" xfId="0" applyNumberFormat="1" applyFont="1" applyBorder="1" applyAlignment="1">
      <alignment horizontal="center"/>
    </xf>
    <xf numFmtId="205" fontId="7" fillId="0" borderId="0" xfId="2" applyNumberFormat="1" applyFont="1" applyFill="1" applyBorder="1" applyAlignment="1" applyProtection="1">
      <alignment horizontal="center"/>
    </xf>
    <xf numFmtId="0" fontId="15" fillId="38" borderId="0" xfId="3" applyFill="1" applyBorder="1" applyAlignment="1">
      <alignment horizontal="right"/>
    </xf>
    <xf numFmtId="0" fontId="75" fillId="38" borderId="2" xfId="0" applyFont="1" applyFill="1" applyBorder="1" applyAlignment="1">
      <alignment horizontal="center"/>
    </xf>
    <xf numFmtId="0" fontId="7" fillId="0" borderId="3" xfId="0" applyFont="1" applyBorder="1" applyAlignment="1" applyProtection="1">
      <alignment horizontal="center"/>
      <protection locked="0"/>
    </xf>
    <xf numFmtId="204" fontId="7" fillId="0" borderId="3" xfId="0" applyNumberFormat="1" applyFont="1" applyBorder="1" applyAlignment="1" applyProtection="1">
      <alignment horizontal="center"/>
      <protection locked="0"/>
    </xf>
    <xf numFmtId="0" fontId="15" fillId="38" borderId="0" xfId="3" applyFill="1" applyBorder="1" applyAlignment="1" applyProtection="1">
      <alignment horizontal="right"/>
    </xf>
    <xf numFmtId="195" fontId="7" fillId="0" borderId="0" xfId="0" applyNumberFormat="1" applyFont="1" applyProtection="1">
      <protection locked="0"/>
    </xf>
    <xf numFmtId="195" fontId="9" fillId="0" borderId="0" xfId="0" applyNumberFormat="1" applyFont="1" applyProtection="1">
      <protection locked="0"/>
    </xf>
    <xf numFmtId="182" fontId="7" fillId="0" borderId="0" xfId="2" applyNumberFormat="1" applyFont="1" applyFill="1" applyBorder="1" applyAlignment="1" applyProtection="1">
      <alignment horizontal="center"/>
      <protection locked="0"/>
    </xf>
    <xf numFmtId="204" fontId="20" fillId="8" borderId="9" xfId="0" applyNumberFormat="1" applyFont="1" applyFill="1" applyBorder="1" applyAlignment="1" applyProtection="1">
      <alignment horizontal="center"/>
      <protection locked="0"/>
    </xf>
    <xf numFmtId="206" fontId="7" fillId="0" borderId="0" xfId="0" applyNumberFormat="1" applyFont="1" applyProtection="1">
      <protection locked="0"/>
    </xf>
    <xf numFmtId="1" fontId="7" fillId="0" borderId="0" xfId="0" applyNumberFormat="1" applyFont="1" applyAlignment="1" applyProtection="1">
      <alignment horizontal="center"/>
      <protection locked="0"/>
    </xf>
    <xf numFmtId="204" fontId="7" fillId="0" borderId="0" xfId="0" applyNumberFormat="1" applyFont="1" applyAlignment="1" applyProtection="1">
      <alignment horizontal="center"/>
      <protection locked="0"/>
    </xf>
    <xf numFmtId="0" fontId="73" fillId="38" borderId="0" xfId="3" applyFont="1" applyFill="1" applyBorder="1" applyAlignment="1" applyProtection="1"/>
    <xf numFmtId="195" fontId="21" fillId="0" borderId="0" xfId="0" applyNumberFormat="1" applyFont="1" applyProtection="1">
      <protection locked="0"/>
    </xf>
    <xf numFmtId="195" fontId="15" fillId="0" borderId="0" xfId="3" applyNumberFormat="1" applyProtection="1">
      <protection locked="0"/>
    </xf>
    <xf numFmtId="193" fontId="7" fillId="0" borderId="0" xfId="0" applyNumberFormat="1" applyFont="1" applyAlignment="1" applyProtection="1">
      <alignment horizontal="center"/>
      <protection locked="0"/>
    </xf>
    <xf numFmtId="0" fontId="79" fillId="39" borderId="4" xfId="0" applyFont="1" applyFill="1" applyBorder="1" applyAlignment="1">
      <alignment vertical="center"/>
    </xf>
    <xf numFmtId="165" fontId="79" fillId="39" borderId="4" xfId="0" applyNumberFormat="1" applyFont="1" applyFill="1" applyBorder="1" applyAlignment="1">
      <alignment horizontal="center" wrapText="1"/>
    </xf>
    <xf numFmtId="168" fontId="76" fillId="0" borderId="0" xfId="0" applyNumberFormat="1" applyFont="1" applyAlignment="1">
      <alignment horizontal="center"/>
    </xf>
    <xf numFmtId="168" fontId="75" fillId="0" borderId="0" xfId="0" applyNumberFormat="1" applyFont="1" applyAlignment="1">
      <alignment horizontal="center"/>
    </xf>
    <xf numFmtId="168" fontId="24" fillId="0" borderId="0" xfId="0" applyNumberFormat="1" applyFont="1"/>
    <xf numFmtId="204" fontId="24" fillId="0" borderId="7" xfId="0" applyNumberFormat="1" applyFont="1" applyBorder="1" applyAlignment="1">
      <alignment horizontal="center"/>
    </xf>
    <xf numFmtId="168" fontId="24" fillId="0" borderId="7" xfId="0" applyNumberFormat="1" applyFont="1" applyBorder="1"/>
    <xf numFmtId="168" fontId="0" fillId="0" borderId="0" xfId="0" applyNumberFormat="1" applyAlignment="1">
      <alignment horizontal="left" indent="1"/>
    </xf>
    <xf numFmtId="174" fontId="24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8" fontId="24" fillId="0" borderId="4" xfId="0" applyNumberFormat="1" applyFont="1" applyBorder="1" applyAlignment="1">
      <alignment horizontal="left"/>
    </xf>
    <xf numFmtId="168" fontId="76" fillId="0" borderId="4" xfId="0" applyNumberFormat="1" applyFont="1" applyBorder="1" applyAlignment="1">
      <alignment horizontal="center"/>
    </xf>
    <xf numFmtId="204" fontId="76" fillId="0" borderId="4" xfId="0" applyNumberFormat="1" applyFont="1" applyBorder="1" applyAlignment="1">
      <alignment horizontal="center"/>
    </xf>
    <xf numFmtId="199" fontId="24" fillId="0" borderId="4" xfId="5" applyNumberFormat="1" applyFont="1" applyBorder="1" applyAlignment="1" applyProtection="1">
      <alignment horizontal="center" vertical="center"/>
    </xf>
    <xf numFmtId="204" fontId="76" fillId="0" borderId="0" xfId="0" applyNumberFormat="1" applyFont="1" applyAlignment="1">
      <alignment horizontal="center"/>
    </xf>
    <xf numFmtId="49" fontId="76" fillId="0" borderId="4" xfId="0" applyNumberFormat="1" applyFont="1" applyBorder="1" applyAlignment="1">
      <alignment horizontal="center"/>
    </xf>
    <xf numFmtId="166" fontId="0" fillId="0" borderId="0" xfId="0" applyNumberFormat="1"/>
    <xf numFmtId="2" fontId="24" fillId="0" borderId="4" xfId="5" applyNumberFormat="1" applyFont="1" applyBorder="1" applyAlignment="1" applyProtection="1">
      <alignment horizontal="center" vertical="center"/>
    </xf>
    <xf numFmtId="204" fontId="24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8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 applyAlignment="1">
      <alignment horizontal="center" vertical="center"/>
    </xf>
    <xf numFmtId="0" fontId="75" fillId="39" borderId="4" xfId="0" applyFont="1" applyFill="1" applyBorder="1" applyAlignment="1">
      <alignment vertical="center"/>
    </xf>
    <xf numFmtId="168" fontId="0" fillId="3" borderId="0" xfId="0" applyNumberFormat="1" applyFill="1"/>
    <xf numFmtId="168" fontId="76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4" fillId="0" borderId="0" xfId="0" applyNumberFormat="1" applyFont="1" applyAlignment="1">
      <alignment horizontal="center"/>
    </xf>
    <xf numFmtId="168" fontId="76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68" fontId="76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4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4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208" fontId="0" fillId="41" borderId="3" xfId="0" applyNumberFormat="1" applyFill="1" applyBorder="1" applyAlignment="1" applyProtection="1">
      <alignment horizontal="left" indent="1"/>
      <protection locked="0"/>
    </xf>
    <xf numFmtId="194" fontId="24" fillId="8" borderId="26" xfId="0" applyNumberFormat="1" applyFont="1" applyFill="1" applyBorder="1" applyAlignment="1" applyProtection="1">
      <alignment horizontal="center"/>
      <protection locked="0"/>
    </xf>
    <xf numFmtId="168" fontId="0" fillId="0" borderId="0" xfId="0" applyNumberFormat="1" applyAlignment="1">
      <alignment horizontal="center"/>
    </xf>
    <xf numFmtId="209" fontId="0" fillId="8" borderId="3" xfId="2" applyNumberFormat="1" applyFont="1" applyFill="1" applyBorder="1" applyAlignment="1" applyProtection="1">
      <alignment horizontal="center"/>
      <protection locked="0"/>
    </xf>
    <xf numFmtId="182" fontId="0" fillId="0" borderId="0" xfId="2" applyNumberFormat="1" applyFont="1" applyAlignment="1" applyProtection="1">
      <alignment horizontal="center"/>
      <protection locked="0"/>
    </xf>
    <xf numFmtId="168" fontId="95" fillId="0" borderId="0" xfId="0" applyNumberFormat="1" applyFont="1" applyAlignment="1">
      <alignment horizontal="center"/>
    </xf>
    <xf numFmtId="174" fontId="24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5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ill="1" applyBorder="1" applyAlignment="1" applyProtection="1">
      <alignment horizontal="left" indent="1"/>
      <protection locked="0"/>
    </xf>
    <xf numFmtId="168" fontId="0" fillId="41" borderId="3" xfId="0" applyNumberFormat="1" applyFill="1" applyBorder="1" applyAlignment="1" applyProtection="1">
      <alignment horizontal="left" indent="1"/>
      <protection locked="0"/>
    </xf>
    <xf numFmtId="0" fontId="15" fillId="0" borderId="0" xfId="3" applyFill="1"/>
    <xf numFmtId="168" fontId="21" fillId="0" borderId="0" xfId="0" applyNumberFormat="1" applyFont="1" applyProtection="1">
      <protection locked="0"/>
    </xf>
    <xf numFmtId="182" fontId="0" fillId="0" borderId="0" xfId="2" applyNumberFormat="1" applyFont="1"/>
    <xf numFmtId="2" fontId="0" fillId="52" borderId="0" xfId="0" applyNumberFormat="1" applyFill="1" applyAlignment="1" applyProtection="1">
      <alignment horizontal="center"/>
      <protection locked="0"/>
    </xf>
    <xf numFmtId="168" fontId="96" fillId="0" borderId="0" xfId="0" applyNumberFormat="1" applyFont="1"/>
    <xf numFmtId="168" fontId="8" fillId="0" borderId="0" xfId="0" applyNumberFormat="1" applyFont="1" applyAlignment="1">
      <alignment horizontal="left" wrapText="1"/>
    </xf>
    <xf numFmtId="168" fontId="19" fillId="0" borderId="0" xfId="0" applyNumberFormat="1" applyFont="1" applyAlignment="1">
      <alignment horizontal="left" wrapText="1"/>
    </xf>
    <xf numFmtId="204" fontId="24" fillId="0" borderId="0" xfId="2" applyNumberFormat="1" applyFont="1" applyFill="1" applyBorder="1" applyAlignment="1" applyProtection="1">
      <alignment horizontal="center"/>
    </xf>
    <xf numFmtId="168" fontId="8" fillId="0" borderId="0" xfId="0" applyNumberFormat="1" applyFont="1" applyAlignment="1">
      <alignment wrapText="1"/>
    </xf>
    <xf numFmtId="4" fontId="7" fillId="41" borderId="3" xfId="0" applyNumberFormat="1" applyFont="1" applyFill="1" applyBorder="1" applyAlignment="1" applyProtection="1">
      <alignment horizontal="center"/>
      <protection locked="0"/>
    </xf>
    <xf numFmtId="4" fontId="7" fillId="0" borderId="3" xfId="0" applyNumberFormat="1" applyFont="1" applyBorder="1" applyAlignment="1" applyProtection="1">
      <alignment horizontal="center"/>
      <protection locked="0"/>
    </xf>
    <xf numFmtId="4" fontId="9" fillId="0" borderId="3" xfId="0" applyNumberFormat="1" applyFont="1" applyBorder="1" applyAlignment="1" applyProtection="1">
      <alignment horizontal="center"/>
      <protection locked="0"/>
    </xf>
    <xf numFmtId="168" fontId="15" fillId="0" borderId="0" xfId="3" applyNumberFormat="1" applyAlignment="1" applyProtection="1"/>
    <xf numFmtId="168" fontId="8" fillId="0" borderId="0" xfId="0" applyNumberFormat="1" applyFont="1" applyAlignment="1">
      <alignment horizontal="left" wrapText="1" indent="1"/>
    </xf>
    <xf numFmtId="205" fontId="9" fillId="0" borderId="0" xfId="2" applyNumberFormat="1" applyFont="1" applyFill="1" applyBorder="1" applyAlignment="1" applyProtection="1">
      <alignment horizontal="center"/>
    </xf>
    <xf numFmtId="168" fontId="19" fillId="0" borderId="0" xfId="0" applyNumberFormat="1" applyFont="1"/>
    <xf numFmtId="210" fontId="7" fillId="0" borderId="0" xfId="0" applyNumberFormat="1" applyFont="1" applyAlignment="1">
      <alignment horizontal="center"/>
    </xf>
    <xf numFmtId="168" fontId="19" fillId="0" borderId="0" xfId="0" applyNumberFormat="1" applyFont="1" applyAlignment="1">
      <alignment horizontal="left"/>
    </xf>
    <xf numFmtId="0" fontId="75" fillId="38" borderId="2" xfId="0" applyFont="1" applyFill="1" applyBorder="1" applyAlignment="1">
      <alignment horizontal="center"/>
    </xf>
  </cellXfs>
  <cellStyles count="307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4" xfId="306" xr:uid="{0E80C3E8-31E4-4FB2-896F-58D9F205C7EF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5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AEEF3"/>
      <color rgb="FFFFFF99"/>
      <color rgb="FFFFCCFF"/>
      <color rgb="FFCCFFCC"/>
      <color rgb="FFFFFFCC"/>
      <color rgb="FFDBE5F1"/>
      <color rgb="FF006100"/>
      <color rgb="FFC6EFCE"/>
      <color rgb="FF9C0006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2"/>
  <sheetViews>
    <sheetView showGridLines="0" tabSelected="1" workbookViewId="0"/>
  </sheetViews>
  <sheetFormatPr defaultColWidth="0" defaultRowHeight="10.199999999999999" zeroHeight="1"/>
  <cols>
    <col min="1" max="2" width="1.46484375" style="8" customWidth="1"/>
    <col min="3" max="3" width="30.796875" style="8" customWidth="1"/>
    <col min="4" max="4" width="163.796875" style="8" customWidth="1"/>
    <col min="5" max="5" width="6.46484375" style="8" customWidth="1"/>
    <col min="6" max="6" width="9.33203125" style="8" hidden="1" customWidth="1"/>
    <col min="7" max="14" width="9.796875" style="8" hidden="1" customWidth="1"/>
    <col min="15" max="15" width="1.46484375" style="8" hidden="1" customWidth="1"/>
    <col min="16" max="16" width="10.46484375" style="8" hidden="1" customWidth="1"/>
    <col min="17" max="17" width="1.46484375" style="8" hidden="1" customWidth="1"/>
    <col min="18" max="16384" width="10.46484375" style="8" hidden="1"/>
  </cols>
  <sheetData>
    <row r="1" spans="1:30" s="1" customFormat="1" ht="15.75" customHeight="1">
      <c r="A1" s="29"/>
      <c r="B1" s="26" t="s">
        <v>0</v>
      </c>
      <c r="C1" s="26"/>
      <c r="D1" s="29"/>
      <c r="E1" s="29"/>
      <c r="G1" s="2"/>
      <c r="H1" s="3"/>
      <c r="I1" s="4"/>
    </row>
    <row r="2" spans="1:30" s="5" customFormat="1" ht="13.5" customHeight="1" thickBot="1">
      <c r="A2" s="33"/>
      <c r="B2" s="32" t="s">
        <v>1</v>
      </c>
      <c r="C2" s="32"/>
      <c r="D2" s="33"/>
      <c r="E2" s="33"/>
    </row>
    <row r="3" spans="1:30" s="6" customFormat="1" ht="3" customHeight="1"/>
    <row r="4" spans="1:30" customFormat="1" ht="12.3">
      <c r="A4" s="34"/>
      <c r="B4" s="40" t="s">
        <v>2</v>
      </c>
      <c r="C4" s="34"/>
      <c r="D4" s="34"/>
      <c r="E4" s="34"/>
      <c r="F4" s="35"/>
      <c r="G4" s="35"/>
      <c r="H4" s="35"/>
      <c r="I4" s="35"/>
      <c r="J4" s="36"/>
      <c r="K4" s="37"/>
      <c r="L4" s="36"/>
      <c r="M4" s="37"/>
      <c r="N4" s="36"/>
      <c r="O4" s="36"/>
      <c r="P4" s="36"/>
      <c r="Q4" s="36"/>
      <c r="R4" s="36"/>
      <c r="S4" s="36"/>
      <c r="T4" s="36"/>
      <c r="U4" s="36"/>
      <c r="V4" s="37"/>
      <c r="W4" s="37"/>
      <c r="X4" s="38"/>
      <c r="Y4" s="38"/>
      <c r="Z4" s="38"/>
      <c r="AA4" s="38"/>
      <c r="AB4" s="38"/>
      <c r="AC4" s="39"/>
      <c r="AD4" s="39"/>
    </row>
    <row r="5" spans="1:30"/>
    <row r="6" spans="1:30" ht="10.5">
      <c r="C6" s="9" t="s">
        <v>3</v>
      </c>
      <c r="D6" s="9" t="s">
        <v>4</v>
      </c>
    </row>
    <row r="7" spans="1:30">
      <c r="C7" s="19" t="s">
        <v>5</v>
      </c>
      <c r="D7" s="7" t="s">
        <v>6</v>
      </c>
    </row>
    <row r="8" spans="1:30">
      <c r="C8" s="19" t="s">
        <v>7</v>
      </c>
      <c r="D8" s="7" t="s">
        <v>8</v>
      </c>
    </row>
    <row r="9" spans="1:30">
      <c r="C9" s="204" t="s">
        <v>9</v>
      </c>
      <c r="D9" s="7" t="s">
        <v>10</v>
      </c>
    </row>
    <row r="10" spans="1:30">
      <c r="C10" s="19" t="s">
        <v>11</v>
      </c>
      <c r="D10" s="7" t="s">
        <v>12</v>
      </c>
    </row>
    <row r="11" spans="1:30">
      <c r="C11" s="19" t="s">
        <v>13</v>
      </c>
      <c r="D11" s="7" t="s">
        <v>14</v>
      </c>
    </row>
    <row r="12" spans="1:30">
      <c r="C12" s="19" t="s">
        <v>15</v>
      </c>
      <c r="D12" s="7" t="s">
        <v>16</v>
      </c>
    </row>
    <row r="13" spans="1:30">
      <c r="C13" s="19" t="s">
        <v>17</v>
      </c>
      <c r="D13" s="7" t="s">
        <v>18</v>
      </c>
    </row>
    <row r="14" spans="1:30">
      <c r="C14" s="19" t="s">
        <v>19</v>
      </c>
      <c r="D14" s="7" t="s">
        <v>20</v>
      </c>
    </row>
    <row r="15" spans="1:30">
      <c r="C15" s="19" t="s">
        <v>21</v>
      </c>
      <c r="D15" s="7" t="s">
        <v>22</v>
      </c>
    </row>
    <row r="16" spans="1:30">
      <c r="C16" s="19" t="s">
        <v>23</v>
      </c>
      <c r="D16" s="7" t="s">
        <v>24</v>
      </c>
    </row>
    <row r="17" spans="1:30" ht="12.9">
      <c r="C17" s="10"/>
      <c r="D17" s="7"/>
    </row>
    <row r="18" spans="1:30" customFormat="1" ht="12.3">
      <c r="A18" s="34"/>
      <c r="B18" s="40" t="s">
        <v>25</v>
      </c>
      <c r="C18" s="34"/>
      <c r="D18" s="34"/>
      <c r="E18" s="34"/>
      <c r="F18" s="35"/>
      <c r="G18" s="35"/>
      <c r="H18" s="35"/>
      <c r="I18" s="35"/>
      <c r="J18" s="36"/>
      <c r="K18" s="37"/>
      <c r="L18" s="36"/>
      <c r="M18" s="37"/>
      <c r="N18" s="36"/>
      <c r="O18" s="36"/>
      <c r="P18" s="36"/>
      <c r="Q18" s="36"/>
      <c r="R18" s="36"/>
      <c r="S18" s="36"/>
      <c r="T18" s="36"/>
      <c r="U18" s="36"/>
      <c r="V18" s="37"/>
      <c r="W18" s="37"/>
      <c r="X18" s="38"/>
      <c r="Y18" s="38"/>
      <c r="Z18" s="38"/>
      <c r="AA18" s="38"/>
      <c r="AB18" s="38"/>
      <c r="AC18" s="39"/>
      <c r="AD18" s="39"/>
    </row>
    <row r="19" spans="1:30">
      <c r="D19" s="7"/>
      <c r="F19" s="24"/>
    </row>
    <row r="20" spans="1:30" ht="10.5">
      <c r="C20" s="9" t="s">
        <v>3</v>
      </c>
      <c r="D20" s="9" t="s">
        <v>26</v>
      </c>
      <c r="F20" s="24"/>
    </row>
    <row r="21" spans="1:30">
      <c r="C21" s="8" t="s">
        <v>27</v>
      </c>
      <c r="D21" s="7" t="s">
        <v>28</v>
      </c>
      <c r="F21" s="24"/>
    </row>
    <row r="22" spans="1:30">
      <c r="C22" s="8" t="s">
        <v>29</v>
      </c>
      <c r="D22" s="7" t="s">
        <v>30</v>
      </c>
      <c r="F22" s="24"/>
    </row>
    <row r="23" spans="1:30">
      <c r="D23" s="7" t="s">
        <v>31</v>
      </c>
      <c r="F23" s="24"/>
    </row>
    <row r="24" spans="1:30">
      <c r="C24" s="7" t="s">
        <v>32</v>
      </c>
      <c r="D24" s="7" t="s">
        <v>33</v>
      </c>
      <c r="F24" s="24"/>
    </row>
    <row r="25" spans="1:30">
      <c r="C25" s="7" t="s">
        <v>34</v>
      </c>
      <c r="D25" s="7" t="s">
        <v>35</v>
      </c>
      <c r="F25" s="24"/>
    </row>
    <row r="26" spans="1:30">
      <c r="C26" s="7"/>
      <c r="D26" s="7" t="s">
        <v>36</v>
      </c>
    </row>
    <row r="27" spans="1:30">
      <c r="D27" s="7"/>
    </row>
    <row r="28" spans="1:30" customFormat="1" ht="12.3">
      <c r="A28" s="34"/>
      <c r="B28" s="40" t="s">
        <v>37</v>
      </c>
      <c r="C28" s="34"/>
      <c r="D28" s="34"/>
      <c r="E28" s="34"/>
      <c r="F28" s="35"/>
      <c r="G28" s="35"/>
      <c r="H28" s="35"/>
      <c r="I28" s="35"/>
      <c r="J28" s="36"/>
      <c r="K28" s="37"/>
      <c r="L28" s="36"/>
      <c r="M28" s="37"/>
      <c r="N28" s="36"/>
      <c r="O28" s="36"/>
      <c r="P28" s="36"/>
      <c r="Q28" s="36"/>
      <c r="R28" s="36"/>
      <c r="S28" s="36"/>
      <c r="T28" s="36"/>
      <c r="U28" s="36"/>
      <c r="V28" s="37"/>
      <c r="W28" s="37"/>
      <c r="X28" s="38"/>
      <c r="Y28" s="38"/>
      <c r="Z28" s="38"/>
      <c r="AA28" s="38"/>
      <c r="AB28" s="38"/>
      <c r="AC28" s="39"/>
      <c r="AD28" s="39"/>
    </row>
    <row r="29" spans="1:30" hidden="1">
      <c r="D29" s="7"/>
    </row>
    <row r="30" spans="1:30" hidden="1">
      <c r="D30" s="7"/>
    </row>
    <row r="31" spans="1:30" hidden="1">
      <c r="D31" s="7"/>
    </row>
    <row r="32" spans="1:30" ht="12.9" hidden="1">
      <c r="C32" s="10"/>
      <c r="D32" s="7"/>
    </row>
  </sheetData>
  <hyperlinks>
    <hyperlink ref="C13" location="'Calc|Opex forecast'!A1" display="Calc | Opex Forecast" xr:uid="{00000000-0004-0000-0100-000001000000}"/>
    <hyperlink ref="C14" location="'Output|Models'!A1" display="Output | Models" xr:uid="{00000000-0004-0000-0100-000002000000}"/>
    <hyperlink ref="C15" location="'Lookup|Tables'!A1" display="Lookup | Tables" xr:uid="{00000000-0004-0000-0100-000003000000}"/>
    <hyperlink ref="C16" location="'Check|List'!A1" display="Check | List" xr:uid="{00000000-0004-0000-0100-000004000000}"/>
    <hyperlink ref="C7" location="'Input|General'!A1" display="Input | General" xr:uid="{00000000-0004-0000-0100-000005000000}"/>
    <hyperlink ref="C10" location="'Input|Reported opex'!A1" display="Input | Reported opex" xr:uid="{00000000-0004-0000-0100-000006000000}"/>
    <hyperlink ref="C12" location="'Input|Step changes'!A1" display="Input | Step changes" xr:uid="{00000000-0004-0000-0100-000007000000}"/>
    <hyperlink ref="C8" location="'Input|Inflation'!A1" display="Input | Inflation" xr:uid="{00000000-0004-0000-0100-000008000000}"/>
    <hyperlink ref="C11" location="'Input|Rate of change'!A1" display="Input | Rate of change" xr:uid="{00000000-0004-0000-0100-00000A000000}"/>
    <hyperlink ref="C9" location="'Input|PWC'!A1" display="Input | PWC" xr:uid="{0C598C3B-F629-400C-B39A-00F7D914879E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9"/>
  <sheetViews>
    <sheetView showGridLines="0" workbookViewId="0"/>
  </sheetViews>
  <sheetFormatPr defaultColWidth="0" defaultRowHeight="10.199999999999999" zeroHeight="1"/>
  <cols>
    <col min="1" max="2" width="1.46484375" style="8" customWidth="1"/>
    <col min="3" max="3" width="42" style="8" customWidth="1"/>
    <col min="4" max="4" width="17" style="7" customWidth="1"/>
    <col min="5" max="5" width="15.796875" style="7" customWidth="1"/>
    <col min="6" max="6" width="10.6640625" style="7" customWidth="1"/>
    <col min="7" max="7" width="15" style="16" customWidth="1"/>
    <col min="8" max="9" width="15" style="8" customWidth="1"/>
    <col min="10" max="23" width="10.796875" style="8" customWidth="1"/>
    <col min="24" max="311" width="10.46484375" style="8" hidden="1" customWidth="1"/>
    <col min="312" max="16371" width="10.46484375" style="8" hidden="1"/>
    <col min="16372" max="16372" width="0" style="8" hidden="1"/>
    <col min="16373" max="16384" width="10.46484375" style="8" hidden="1"/>
  </cols>
  <sheetData>
    <row r="1" spans="1:30" s="29" customFormat="1" ht="15">
      <c r="B1" s="26" t="str">
        <f>Index!$B$1</f>
        <v>AER opex model - version: NTESMO 2024-27</v>
      </c>
      <c r="C1" s="26"/>
      <c r="D1" s="26"/>
      <c r="E1" s="26"/>
      <c r="F1" s="27"/>
      <c r="G1" s="27"/>
      <c r="H1" s="27"/>
      <c r="I1" s="27"/>
      <c r="J1" s="28" t="s">
        <v>38</v>
      </c>
      <c r="L1" s="30" t="s">
        <v>39</v>
      </c>
      <c r="M1" s="48" t="s">
        <v>40</v>
      </c>
      <c r="N1" s="11" t="s">
        <v>41</v>
      </c>
      <c r="O1" s="12" t="s">
        <v>42</v>
      </c>
      <c r="R1" s="30"/>
      <c r="S1" s="31"/>
      <c r="U1" s="109" t="s">
        <v>44</v>
      </c>
      <c r="V1" s="31" t="str">
        <f>'Check|List'!$S$1</f>
        <v>Ok</v>
      </c>
    </row>
    <row r="2" spans="1:30" s="29" customFormat="1" ht="12.6">
      <c r="B2" s="43" t="str">
        <f>Index!$C$15</f>
        <v>Lookup | Tables</v>
      </c>
      <c r="C2" s="43"/>
      <c r="D2" s="43"/>
      <c r="E2" s="43"/>
      <c r="F2" s="44"/>
      <c r="G2" s="44"/>
      <c r="H2" s="44"/>
      <c r="I2" s="44"/>
    </row>
    <row r="3" spans="1:30" s="47" customFormat="1" ht="12.3">
      <c r="A3" s="34"/>
      <c r="B3" s="40"/>
      <c r="C3" s="34"/>
      <c r="D3" s="34"/>
      <c r="E3" s="34"/>
      <c r="F3" s="35"/>
      <c r="G3" s="35"/>
      <c r="H3" s="35"/>
      <c r="I3" s="35"/>
      <c r="J3" s="36"/>
      <c r="K3" s="37"/>
      <c r="L3" s="36"/>
      <c r="M3" s="37"/>
      <c r="N3" s="36"/>
      <c r="O3" s="36"/>
      <c r="P3" s="36"/>
      <c r="Q3" s="36"/>
      <c r="R3" s="36"/>
      <c r="S3" s="36"/>
      <c r="T3" s="36"/>
      <c r="U3" s="36"/>
      <c r="V3" s="37"/>
      <c r="W3" s="37"/>
      <c r="X3" s="45"/>
      <c r="Y3" s="45"/>
      <c r="Z3" s="45"/>
      <c r="AA3" s="45"/>
      <c r="AB3" s="45"/>
      <c r="AC3" s="46"/>
      <c r="AD3" s="46"/>
    </row>
    <row r="4" spans="1:30" s="6" customFormat="1" ht="3" customHeight="1">
      <c r="D4" s="20"/>
      <c r="E4" s="20"/>
    </row>
    <row r="5" spans="1:30" customFormat="1" ht="12.3">
      <c r="A5" s="34"/>
      <c r="B5" s="40" t="s">
        <v>200</v>
      </c>
      <c r="C5" s="34"/>
      <c r="D5" s="34"/>
      <c r="E5" s="34"/>
      <c r="F5" s="35"/>
      <c r="G5" s="35"/>
      <c r="H5" s="35"/>
      <c r="I5" s="35"/>
      <c r="J5" s="36"/>
      <c r="K5" s="37"/>
      <c r="L5" s="36"/>
      <c r="M5" s="37"/>
      <c r="N5" s="36"/>
      <c r="O5" s="36"/>
      <c r="P5" s="36"/>
      <c r="Q5" s="36"/>
      <c r="R5" s="36"/>
      <c r="S5" s="36"/>
      <c r="T5" s="36"/>
      <c r="U5" s="36"/>
      <c r="V5" s="37"/>
      <c r="W5" s="37"/>
      <c r="X5" s="38"/>
      <c r="Y5" s="38"/>
      <c r="Z5" s="38"/>
      <c r="AA5" s="38"/>
      <c r="AB5" s="38"/>
      <c r="AC5" s="39"/>
      <c r="AD5" s="39"/>
    </row>
    <row r="6" spans="1:30"/>
    <row r="7" spans="1:30" ht="10.5">
      <c r="C7" s="13" t="str">
        <f>B5</f>
        <v>Stage</v>
      </c>
      <c r="D7" s="21" t="s">
        <v>47</v>
      </c>
      <c r="E7" s="21"/>
      <c r="F7" s="14"/>
      <c r="G7" s="14" t="s">
        <v>201</v>
      </c>
      <c r="H7" s="14"/>
    </row>
    <row r="8" spans="1:30">
      <c r="C8" s="15" t="s">
        <v>202</v>
      </c>
      <c r="D8" s="16" t="s">
        <v>203</v>
      </c>
      <c r="E8" s="16"/>
      <c r="F8" s="16"/>
      <c r="G8" s="41" t="s">
        <v>202</v>
      </c>
    </row>
    <row r="9" spans="1:30">
      <c r="C9" s="15" t="s">
        <v>204</v>
      </c>
      <c r="D9" s="16" t="s">
        <v>203</v>
      </c>
      <c r="E9" s="16"/>
      <c r="F9" s="16"/>
      <c r="G9" s="41" t="s">
        <v>204</v>
      </c>
    </row>
    <row r="10" spans="1:30">
      <c r="C10" s="15" t="s">
        <v>205</v>
      </c>
      <c r="D10" s="16" t="s">
        <v>53</v>
      </c>
      <c r="E10" s="16"/>
      <c r="F10" s="16"/>
      <c r="G10" s="41" t="s">
        <v>205</v>
      </c>
      <c r="T10" s="17"/>
    </row>
    <row r="11" spans="1:30">
      <c r="C11" s="15" t="s">
        <v>54</v>
      </c>
      <c r="D11" s="16" t="s">
        <v>203</v>
      </c>
      <c r="E11" s="16"/>
      <c r="F11" s="16"/>
      <c r="G11" s="41" t="s">
        <v>54</v>
      </c>
    </row>
    <row r="12" spans="1:30">
      <c r="C12" s="15" t="s">
        <v>206</v>
      </c>
      <c r="D12" s="16" t="s">
        <v>53</v>
      </c>
      <c r="E12" s="16"/>
      <c r="F12" s="16"/>
      <c r="G12" s="41" t="s">
        <v>206</v>
      </c>
      <c r="T12" s="17"/>
    </row>
    <row r="13" spans="1:30">
      <c r="F13" s="8"/>
      <c r="G13" s="8"/>
    </row>
    <row r="14" spans="1:30" customFormat="1" ht="12.3">
      <c r="A14" s="34"/>
      <c r="B14" s="40" t="s">
        <v>207</v>
      </c>
      <c r="C14" s="34"/>
      <c r="D14" s="34"/>
      <c r="E14" s="34"/>
      <c r="F14" s="35"/>
      <c r="G14" s="35"/>
      <c r="H14" s="35"/>
      <c r="I14" s="35"/>
      <c r="J14" s="36"/>
      <c r="K14" s="37"/>
      <c r="L14" s="36"/>
      <c r="M14" s="37"/>
      <c r="N14" s="36"/>
      <c r="O14" s="36"/>
      <c r="P14" s="36"/>
      <c r="Q14" s="36"/>
      <c r="R14" s="36"/>
      <c r="S14" s="36"/>
      <c r="T14" s="36"/>
      <c r="U14" s="36"/>
      <c r="V14" s="37"/>
      <c r="W14" s="37"/>
      <c r="X14" s="38"/>
      <c r="Y14" s="38"/>
      <c r="Z14" s="38"/>
      <c r="AA14" s="38"/>
      <c r="AB14" s="38"/>
      <c r="AC14" s="39"/>
      <c r="AD14" s="39"/>
    </row>
    <row r="15" spans="1:30"/>
    <row r="16" spans="1:30" ht="10.5">
      <c r="C16" s="13" t="str">
        <f>B14</f>
        <v>Unit Denominations</v>
      </c>
      <c r="D16" s="21" t="s">
        <v>47</v>
      </c>
      <c r="E16" s="21"/>
      <c r="F16" s="14"/>
      <c r="G16" s="14" t="s">
        <v>201</v>
      </c>
      <c r="H16" s="14"/>
    </row>
    <row r="17" spans="3:20">
      <c r="C17" s="15" t="s">
        <v>208</v>
      </c>
      <c r="D17" s="16" t="s">
        <v>53</v>
      </c>
      <c r="E17" s="16"/>
      <c r="F17" s="16"/>
      <c r="G17" s="41" t="s">
        <v>209</v>
      </c>
    </row>
    <row r="18" spans="3:20">
      <c r="C18" s="15" t="s">
        <v>210</v>
      </c>
      <c r="D18" s="16" t="s">
        <v>53</v>
      </c>
      <c r="E18" s="16"/>
      <c r="F18" s="16"/>
      <c r="G18" s="41" t="s">
        <v>211</v>
      </c>
    </row>
    <row r="19" spans="3:20">
      <c r="C19" s="15" t="s">
        <v>212</v>
      </c>
      <c r="D19" s="16" t="s">
        <v>53</v>
      </c>
      <c r="E19" s="16"/>
      <c r="F19" s="16"/>
      <c r="G19" s="41" t="s">
        <v>62</v>
      </c>
      <c r="T19" s="17"/>
    </row>
    <row r="20" spans="3:20">
      <c r="F20" s="8"/>
      <c r="G20" s="8"/>
    </row>
    <row r="21" spans="3:20">
      <c r="C21" s="15" t="s">
        <v>72</v>
      </c>
      <c r="D21" s="16" t="s">
        <v>53</v>
      </c>
      <c r="E21" s="16"/>
      <c r="F21" s="16"/>
      <c r="G21" s="41" t="s">
        <v>124</v>
      </c>
    </row>
    <row r="22" spans="3:20">
      <c r="C22" s="15" t="s">
        <v>70</v>
      </c>
      <c r="D22" s="16" t="s">
        <v>53</v>
      </c>
      <c r="E22" s="16"/>
      <c r="F22" s="16"/>
      <c r="G22" s="41" t="s">
        <v>213</v>
      </c>
    </row>
    <row r="23" spans="3:20">
      <c r="C23" s="15" t="s">
        <v>214</v>
      </c>
      <c r="D23" s="16" t="s">
        <v>53</v>
      </c>
      <c r="E23" s="16"/>
      <c r="F23" s="16"/>
      <c r="G23" s="41" t="s">
        <v>144</v>
      </c>
    </row>
    <row r="24" spans="3:20">
      <c r="C24" s="15" t="s">
        <v>215</v>
      </c>
      <c r="D24" s="16" t="s">
        <v>53</v>
      </c>
      <c r="E24" s="16"/>
      <c r="F24" s="16"/>
      <c r="G24" s="41" t="s">
        <v>216</v>
      </c>
    </row>
    <row r="25" spans="3:20">
      <c r="C25" s="15"/>
      <c r="D25" s="16"/>
      <c r="E25" s="16"/>
      <c r="F25" s="16"/>
      <c r="G25" s="8"/>
    </row>
    <row r="26" spans="3:20">
      <c r="C26" s="15" t="s">
        <v>112</v>
      </c>
      <c r="D26" s="16" t="s">
        <v>53</v>
      </c>
      <c r="E26" s="16"/>
      <c r="F26" s="16"/>
      <c r="G26" s="41" t="s">
        <v>112</v>
      </c>
    </row>
    <row r="27" spans="3:20">
      <c r="C27" s="15" t="s">
        <v>217</v>
      </c>
      <c r="D27" s="16" t="s">
        <v>53</v>
      </c>
      <c r="E27" s="16"/>
      <c r="F27" s="16"/>
      <c r="G27" s="41" t="s">
        <v>217</v>
      </c>
    </row>
    <row r="28" spans="3:20">
      <c r="C28" s="15"/>
      <c r="D28" s="16"/>
      <c r="E28" s="16"/>
      <c r="F28" s="16"/>
      <c r="G28" s="8"/>
    </row>
    <row r="29" spans="3:20" ht="10.5">
      <c r="C29" s="13" t="s">
        <v>218</v>
      </c>
      <c r="D29" s="16"/>
      <c r="E29" s="16"/>
      <c r="F29" s="16"/>
      <c r="G29" s="8"/>
    </row>
    <row r="30" spans="3:20">
      <c r="C30" s="15" t="s">
        <v>219</v>
      </c>
      <c r="D30" s="16" t="s">
        <v>51</v>
      </c>
      <c r="E30" s="16"/>
      <c r="F30" s="16"/>
      <c r="G30" s="41" t="s">
        <v>78</v>
      </c>
    </row>
    <row r="31" spans="3:20">
      <c r="C31" s="15" t="s">
        <v>220</v>
      </c>
      <c r="D31" s="16" t="s">
        <v>51</v>
      </c>
      <c r="E31" s="16"/>
      <c r="F31" s="16"/>
      <c r="G31" s="41" t="s">
        <v>82</v>
      </c>
    </row>
    <row r="32" spans="3:20">
      <c r="C32" s="15"/>
      <c r="D32" s="16"/>
      <c r="E32" s="16"/>
      <c r="F32" s="16"/>
      <c r="G32" s="8"/>
    </row>
    <row r="33" spans="1:30" customFormat="1" ht="12.3">
      <c r="A33" s="34"/>
      <c r="B33" s="40" t="s">
        <v>221</v>
      </c>
      <c r="C33" s="34"/>
      <c r="D33" s="34"/>
      <c r="E33" s="34"/>
      <c r="F33" s="35"/>
      <c r="G33" s="35"/>
      <c r="H33" s="35"/>
      <c r="I33" s="35"/>
      <c r="J33" s="36"/>
      <c r="K33" s="37"/>
      <c r="L33" s="36"/>
      <c r="M33" s="37"/>
      <c r="N33" s="36"/>
      <c r="O33" s="36"/>
      <c r="P33" s="36"/>
      <c r="Q33" s="36"/>
      <c r="R33" s="36"/>
      <c r="S33" s="36"/>
      <c r="T33" s="36"/>
      <c r="U33" s="36"/>
      <c r="V33" s="37"/>
      <c r="W33" s="37"/>
      <c r="X33" s="38"/>
      <c r="Y33" s="38"/>
      <c r="Z33" s="38"/>
      <c r="AA33" s="38"/>
      <c r="AB33" s="38"/>
      <c r="AC33" s="39"/>
      <c r="AD33" s="39"/>
    </row>
    <row r="34" spans="1:30"/>
    <row r="35" spans="1:30" ht="10.5">
      <c r="C35" s="13" t="str">
        <f>B33</f>
        <v>Months</v>
      </c>
      <c r="D35" s="21" t="s">
        <v>47</v>
      </c>
      <c r="E35" s="21"/>
      <c r="F35" s="14"/>
      <c r="G35" s="14" t="s">
        <v>201</v>
      </c>
      <c r="H35" s="14"/>
    </row>
    <row r="36" spans="1:30" ht="10.5">
      <c r="C36" s="15" t="s">
        <v>222</v>
      </c>
      <c r="D36" s="16" t="s">
        <v>53</v>
      </c>
      <c r="E36" s="16"/>
      <c r="F36" s="16"/>
      <c r="G36" s="95">
        <v>36526</v>
      </c>
      <c r="H36" s="14"/>
    </row>
    <row r="37" spans="1:30" ht="10.5">
      <c r="C37" s="15" t="s">
        <v>223</v>
      </c>
      <c r="D37" s="16" t="s">
        <v>53</v>
      </c>
      <c r="E37" s="16"/>
      <c r="F37" s="16"/>
      <c r="G37" s="95">
        <v>36557</v>
      </c>
      <c r="H37" s="14"/>
    </row>
    <row r="38" spans="1:30" ht="10.5">
      <c r="C38" s="15" t="s">
        <v>224</v>
      </c>
      <c r="D38" s="16" t="s">
        <v>53</v>
      </c>
      <c r="E38" s="16"/>
      <c r="F38" s="16"/>
      <c r="G38" s="95">
        <v>36586</v>
      </c>
      <c r="H38" s="14"/>
    </row>
    <row r="39" spans="1:30">
      <c r="C39" s="15" t="s">
        <v>225</v>
      </c>
      <c r="D39" s="16" t="s">
        <v>53</v>
      </c>
      <c r="E39" s="16"/>
      <c r="F39" s="16"/>
      <c r="G39" s="95">
        <v>36617</v>
      </c>
    </row>
    <row r="40" spans="1:30">
      <c r="C40" s="15" t="s">
        <v>226</v>
      </c>
      <c r="D40" s="16" t="s">
        <v>53</v>
      </c>
      <c r="E40" s="16"/>
      <c r="F40" s="16"/>
      <c r="G40" s="95">
        <v>36647</v>
      </c>
    </row>
    <row r="41" spans="1:30">
      <c r="C41" s="15" t="s">
        <v>227</v>
      </c>
      <c r="D41" s="16" t="s">
        <v>53</v>
      </c>
      <c r="E41" s="16"/>
      <c r="F41" s="16"/>
      <c r="G41" s="95">
        <v>36678</v>
      </c>
      <c r="T41" s="17"/>
    </row>
    <row r="42" spans="1:30">
      <c r="C42" s="15" t="s">
        <v>228</v>
      </c>
      <c r="D42" s="16" t="s">
        <v>53</v>
      </c>
      <c r="E42" s="16"/>
      <c r="F42" s="16"/>
      <c r="G42" s="95">
        <v>36708</v>
      </c>
      <c r="T42" s="17"/>
    </row>
    <row r="43" spans="1:30">
      <c r="C43" s="15" t="s">
        <v>229</v>
      </c>
      <c r="D43" s="16" t="s">
        <v>53</v>
      </c>
      <c r="E43" s="16"/>
      <c r="F43" s="16"/>
      <c r="G43" s="95">
        <v>36739</v>
      </c>
      <c r="T43" s="17"/>
    </row>
    <row r="44" spans="1:30">
      <c r="C44" s="15" t="s">
        <v>230</v>
      </c>
      <c r="D44" s="16" t="s">
        <v>53</v>
      </c>
      <c r="E44" s="16"/>
      <c r="F44" s="16"/>
      <c r="G44" s="95">
        <v>36770</v>
      </c>
      <c r="T44" s="17"/>
    </row>
    <row r="45" spans="1:30">
      <c r="C45" s="15" t="s">
        <v>231</v>
      </c>
      <c r="D45" s="16" t="s">
        <v>53</v>
      </c>
      <c r="E45" s="16"/>
      <c r="F45" s="16"/>
      <c r="G45" s="95">
        <v>36800</v>
      </c>
      <c r="T45" s="17"/>
    </row>
    <row r="46" spans="1:30">
      <c r="C46" s="15" t="s">
        <v>232</v>
      </c>
      <c r="D46" s="16" t="s">
        <v>53</v>
      </c>
      <c r="E46" s="16"/>
      <c r="F46" s="16"/>
      <c r="G46" s="95">
        <v>36831</v>
      </c>
      <c r="T46" s="17"/>
    </row>
    <row r="47" spans="1:30">
      <c r="C47" s="15" t="s">
        <v>233</v>
      </c>
      <c r="D47" s="16" t="s">
        <v>53</v>
      </c>
      <c r="E47" s="16"/>
      <c r="F47" s="16"/>
      <c r="G47" s="95">
        <v>36861</v>
      </c>
      <c r="T47" s="17"/>
    </row>
    <row r="48" spans="1:30">
      <c r="C48" s="15"/>
      <c r="D48" s="16"/>
      <c r="E48" s="16"/>
      <c r="F48" s="16"/>
      <c r="T48" s="17"/>
    </row>
    <row r="49" spans="1:30" customFormat="1" ht="12.3">
      <c r="A49" s="34"/>
      <c r="B49" s="40" t="s">
        <v>234</v>
      </c>
      <c r="C49" s="34"/>
      <c r="D49" s="34"/>
      <c r="E49" s="34"/>
      <c r="F49" s="35"/>
      <c r="G49" s="35"/>
      <c r="H49" s="35"/>
      <c r="I49" s="35"/>
      <c r="J49" s="36"/>
      <c r="K49" s="37"/>
      <c r="L49" s="36"/>
      <c r="M49" s="37"/>
      <c r="N49" s="36"/>
      <c r="O49" s="36"/>
      <c r="P49" s="36"/>
      <c r="Q49" s="36"/>
      <c r="R49" s="36"/>
      <c r="S49" s="36"/>
      <c r="T49" s="36"/>
      <c r="U49" s="36"/>
      <c r="V49" s="37"/>
      <c r="W49" s="37"/>
      <c r="X49" s="38"/>
      <c r="Y49" s="38"/>
      <c r="Z49" s="38"/>
      <c r="AA49" s="38"/>
      <c r="AB49" s="38"/>
      <c r="AC49" s="39"/>
      <c r="AD49" s="39"/>
    </row>
    <row r="50" spans="1:30"/>
    <row r="51" spans="1:30" ht="10.5">
      <c r="C51" s="13" t="str">
        <f>B49</f>
        <v>Years</v>
      </c>
      <c r="D51" s="21" t="s">
        <v>47</v>
      </c>
      <c r="E51" s="21"/>
      <c r="F51" s="14"/>
      <c r="G51" s="14" t="s">
        <v>235</v>
      </c>
      <c r="H51" s="14" t="s">
        <v>236</v>
      </c>
      <c r="I51" s="14" t="s">
        <v>237</v>
      </c>
    </row>
    <row r="52" spans="1:30">
      <c r="C52" s="100">
        <v>40695</v>
      </c>
      <c r="D52" s="16" t="s">
        <v>53</v>
      </c>
      <c r="E52" s="16"/>
      <c r="F52" s="16"/>
      <c r="G52" s="96">
        <v>2011</v>
      </c>
      <c r="H52" s="112">
        <f>DATE(G52,MONTH('Input|General'!$G$9),1)</f>
        <v>40695</v>
      </c>
      <c r="I52" s="111" t="str">
        <f>G52-1&amp;"–"&amp;RIGHT(G52,2)</f>
        <v>2010–11</v>
      </c>
    </row>
    <row r="53" spans="1:30">
      <c r="C53" s="100">
        <v>41061</v>
      </c>
      <c r="D53" s="16" t="s">
        <v>53</v>
      </c>
      <c r="E53" s="16"/>
      <c r="F53" s="16"/>
      <c r="G53" s="96">
        <v>2012</v>
      </c>
      <c r="H53" s="112">
        <f>DATE(G53,MONTH('Input|General'!$G$9),1)</f>
        <v>41061</v>
      </c>
      <c r="I53" s="111" t="str">
        <f t="shared" ref="I53:I71" si="0">G53-1&amp;"–"&amp;RIGHT(G53,2)</f>
        <v>2011–12</v>
      </c>
    </row>
    <row r="54" spans="1:30">
      <c r="C54" s="100">
        <v>41426</v>
      </c>
      <c r="D54" s="16" t="s">
        <v>53</v>
      </c>
      <c r="E54" s="16"/>
      <c r="F54" s="16"/>
      <c r="G54" s="96">
        <v>2013</v>
      </c>
      <c r="H54" s="112">
        <f>DATE(G54,MONTH('Input|General'!$G$9),1)</f>
        <v>41426</v>
      </c>
      <c r="I54" s="111" t="str">
        <f t="shared" si="0"/>
        <v>2012–13</v>
      </c>
    </row>
    <row r="55" spans="1:30">
      <c r="C55" s="100">
        <v>41791</v>
      </c>
      <c r="D55" s="16" t="s">
        <v>53</v>
      </c>
      <c r="E55" s="16"/>
      <c r="F55" s="16"/>
      <c r="G55" s="96">
        <v>2014</v>
      </c>
      <c r="H55" s="112">
        <f>DATE(G55,MONTH('Input|General'!$G$9),1)</f>
        <v>41791</v>
      </c>
      <c r="I55" s="111" t="str">
        <f t="shared" si="0"/>
        <v>2013–14</v>
      </c>
    </row>
    <row r="56" spans="1:30">
      <c r="C56" s="100">
        <v>42156</v>
      </c>
      <c r="D56" s="16" t="s">
        <v>53</v>
      </c>
      <c r="E56" s="16"/>
      <c r="F56" s="16"/>
      <c r="G56" s="96">
        <v>2015</v>
      </c>
      <c r="H56" s="112">
        <f>DATE(G56,MONTH('Input|General'!$G$9),1)</f>
        <v>42156</v>
      </c>
      <c r="I56" s="111" t="str">
        <f t="shared" si="0"/>
        <v>2014–15</v>
      </c>
      <c r="T56" s="17"/>
    </row>
    <row r="57" spans="1:30">
      <c r="C57" s="100">
        <v>42522</v>
      </c>
      <c r="D57" s="16" t="s">
        <v>53</v>
      </c>
      <c r="E57" s="16"/>
      <c r="F57" s="16"/>
      <c r="G57" s="96">
        <v>2016</v>
      </c>
      <c r="H57" s="112">
        <f>DATE(G57,MONTH('Input|General'!$G$9),1)</f>
        <v>42522</v>
      </c>
      <c r="I57" s="111" t="str">
        <f t="shared" si="0"/>
        <v>2015–16</v>
      </c>
      <c r="T57" s="17"/>
    </row>
    <row r="58" spans="1:30">
      <c r="C58" s="100">
        <v>42887</v>
      </c>
      <c r="D58" s="16" t="s">
        <v>53</v>
      </c>
      <c r="E58" s="16"/>
      <c r="F58" s="16"/>
      <c r="G58" s="96">
        <v>2017</v>
      </c>
      <c r="H58" s="112">
        <f>DATE(G58,MONTH('Input|General'!$G$9),1)</f>
        <v>42887</v>
      </c>
      <c r="I58" s="111" t="str">
        <f t="shared" si="0"/>
        <v>2016–17</v>
      </c>
      <c r="T58" s="17"/>
    </row>
    <row r="59" spans="1:30">
      <c r="C59" s="100">
        <v>43252</v>
      </c>
      <c r="D59" s="16" t="s">
        <v>53</v>
      </c>
      <c r="E59" s="16"/>
      <c r="F59" s="16"/>
      <c r="G59" s="96">
        <v>2018</v>
      </c>
      <c r="H59" s="112">
        <f>DATE(G59,MONTH('Input|General'!$G$9),1)</f>
        <v>43252</v>
      </c>
      <c r="I59" s="111" t="str">
        <f t="shared" si="0"/>
        <v>2017–18</v>
      </c>
      <c r="T59" s="17"/>
    </row>
    <row r="60" spans="1:30">
      <c r="C60" s="100">
        <v>43617</v>
      </c>
      <c r="D60" s="16" t="s">
        <v>53</v>
      </c>
      <c r="E60" s="16"/>
      <c r="F60" s="16"/>
      <c r="G60" s="96">
        <v>2019</v>
      </c>
      <c r="H60" s="112">
        <f>DATE(G60,MONTH('Input|General'!$G$9),1)</f>
        <v>43617</v>
      </c>
      <c r="I60" s="111" t="str">
        <f t="shared" si="0"/>
        <v>2018–19</v>
      </c>
      <c r="T60" s="17"/>
    </row>
    <row r="61" spans="1:30">
      <c r="C61" s="100">
        <v>43983</v>
      </c>
      <c r="D61" s="16" t="s">
        <v>53</v>
      </c>
      <c r="E61" s="16"/>
      <c r="F61" s="16"/>
      <c r="G61" s="96">
        <v>2020</v>
      </c>
      <c r="H61" s="112">
        <f>DATE(G61,MONTH('Input|General'!$G$9),1)</f>
        <v>43983</v>
      </c>
      <c r="I61" s="111" t="str">
        <f t="shared" si="0"/>
        <v>2019–20</v>
      </c>
      <c r="T61" s="17"/>
    </row>
    <row r="62" spans="1:30">
      <c r="C62" s="100">
        <v>44348</v>
      </c>
      <c r="D62" s="16" t="s">
        <v>53</v>
      </c>
      <c r="E62" s="16"/>
      <c r="F62" s="16"/>
      <c r="G62" s="96">
        <v>2021</v>
      </c>
      <c r="H62" s="112">
        <f>DATE(G62,MONTH('Input|General'!$G$9),1)</f>
        <v>44348</v>
      </c>
      <c r="I62" s="111" t="str">
        <f t="shared" si="0"/>
        <v>2020–21</v>
      </c>
      <c r="T62" s="17"/>
    </row>
    <row r="63" spans="1:30">
      <c r="C63" s="100">
        <v>44713</v>
      </c>
      <c r="D63" s="16" t="s">
        <v>53</v>
      </c>
      <c r="E63" s="16"/>
      <c r="F63" s="16"/>
      <c r="G63" s="96">
        <v>2022</v>
      </c>
      <c r="H63" s="112">
        <f>DATE(G63,MONTH('Input|General'!$G$9),1)</f>
        <v>44713</v>
      </c>
      <c r="I63" s="111" t="str">
        <f t="shared" si="0"/>
        <v>2021–22</v>
      </c>
      <c r="T63" s="17"/>
    </row>
    <row r="64" spans="1:30">
      <c r="C64" s="100">
        <v>45078</v>
      </c>
      <c r="D64" s="16" t="s">
        <v>53</v>
      </c>
      <c r="E64" s="16"/>
      <c r="F64" s="16"/>
      <c r="G64" s="96">
        <v>2023</v>
      </c>
      <c r="H64" s="112">
        <f>DATE(G64,MONTH('Input|General'!$G$9),1)</f>
        <v>45078</v>
      </c>
      <c r="I64" s="111" t="str">
        <f t="shared" si="0"/>
        <v>2022–23</v>
      </c>
      <c r="T64" s="17"/>
    </row>
    <row r="65" spans="1:30">
      <c r="C65" s="100">
        <v>45444</v>
      </c>
      <c r="D65" s="16" t="s">
        <v>53</v>
      </c>
      <c r="E65" s="16"/>
      <c r="F65" s="16"/>
      <c r="G65" s="96">
        <v>2024</v>
      </c>
      <c r="H65" s="112">
        <f>DATE(G65,MONTH('Input|General'!$G$9),1)</f>
        <v>45444</v>
      </c>
      <c r="I65" s="111" t="str">
        <f t="shared" si="0"/>
        <v>2023–24</v>
      </c>
      <c r="T65" s="17"/>
    </row>
    <row r="66" spans="1:30">
      <c r="C66" s="100">
        <v>45809</v>
      </c>
      <c r="D66" s="16" t="s">
        <v>53</v>
      </c>
      <c r="E66" s="16"/>
      <c r="F66" s="16"/>
      <c r="G66" s="96">
        <v>2025</v>
      </c>
      <c r="H66" s="112">
        <f>DATE(G66,MONTH('Input|General'!$G$9),1)</f>
        <v>45809</v>
      </c>
      <c r="I66" s="111" t="str">
        <f t="shared" si="0"/>
        <v>2024–25</v>
      </c>
      <c r="T66" s="17"/>
    </row>
    <row r="67" spans="1:30">
      <c r="C67" s="100">
        <v>46174</v>
      </c>
      <c r="D67" s="16" t="s">
        <v>53</v>
      </c>
      <c r="E67" s="16"/>
      <c r="F67" s="16"/>
      <c r="G67" s="96">
        <v>2026</v>
      </c>
      <c r="H67" s="112">
        <f>DATE(G67,MONTH('Input|General'!$G$9),1)</f>
        <v>46174</v>
      </c>
      <c r="I67" s="111" t="str">
        <f t="shared" si="0"/>
        <v>2025–26</v>
      </c>
      <c r="T67" s="17"/>
    </row>
    <row r="68" spans="1:30">
      <c r="C68" s="100">
        <v>46539</v>
      </c>
      <c r="D68" s="16" t="s">
        <v>53</v>
      </c>
      <c r="E68" s="16"/>
      <c r="F68" s="16"/>
      <c r="G68" s="96">
        <v>2027</v>
      </c>
      <c r="H68" s="112">
        <f>DATE(G68,MONTH('Input|General'!$G$9),1)</f>
        <v>46539</v>
      </c>
      <c r="I68" s="111" t="str">
        <f t="shared" si="0"/>
        <v>2026–27</v>
      </c>
      <c r="T68" s="17"/>
    </row>
    <row r="69" spans="1:30">
      <c r="C69" s="100">
        <v>46905</v>
      </c>
      <c r="D69" s="16" t="s">
        <v>53</v>
      </c>
      <c r="E69" s="16"/>
      <c r="F69" s="16"/>
      <c r="G69" s="96">
        <v>2028</v>
      </c>
      <c r="H69" s="112">
        <f>DATE(G69,MONTH('Input|General'!$G$9),1)</f>
        <v>46905</v>
      </c>
      <c r="I69" s="111" t="str">
        <f t="shared" si="0"/>
        <v>2027–28</v>
      </c>
      <c r="T69" s="17"/>
    </row>
    <row r="70" spans="1:30">
      <c r="C70" s="100">
        <v>47270</v>
      </c>
      <c r="D70" s="16" t="s">
        <v>53</v>
      </c>
      <c r="E70" s="16"/>
      <c r="F70" s="16"/>
      <c r="G70" s="96">
        <v>2029</v>
      </c>
      <c r="H70" s="112">
        <f>DATE(G70,MONTH('Input|General'!$G$9),1)</f>
        <v>47270</v>
      </c>
      <c r="I70" s="111" t="str">
        <f t="shared" si="0"/>
        <v>2028–29</v>
      </c>
      <c r="T70" s="17"/>
    </row>
    <row r="71" spans="1:30">
      <c r="C71" s="100">
        <v>47635</v>
      </c>
      <c r="D71" s="16" t="s">
        <v>53</v>
      </c>
      <c r="E71" s="16"/>
      <c r="F71" s="16"/>
      <c r="G71" s="96">
        <v>2030</v>
      </c>
      <c r="H71" s="112">
        <f>DATE(G71,MONTH('Input|General'!$G$9),1)</f>
        <v>47635</v>
      </c>
      <c r="I71" s="111" t="str">
        <f t="shared" si="0"/>
        <v>2029–30</v>
      </c>
      <c r="T71" s="17"/>
    </row>
    <row r="72" spans="1:30"/>
    <row r="73" spans="1:30" customFormat="1" ht="12.3">
      <c r="A73" s="34"/>
      <c r="B73" s="40" t="s">
        <v>238</v>
      </c>
      <c r="C73" s="34"/>
      <c r="D73" s="34"/>
      <c r="E73" s="34"/>
      <c r="F73" s="35"/>
      <c r="G73" s="35"/>
      <c r="H73" s="35"/>
      <c r="I73" s="35"/>
      <c r="J73" s="36"/>
      <c r="K73" s="37"/>
      <c r="L73" s="36"/>
      <c r="M73" s="37"/>
      <c r="N73" s="36"/>
      <c r="O73" s="36"/>
      <c r="P73" s="36"/>
      <c r="Q73" s="36"/>
      <c r="R73" s="36"/>
      <c r="S73" s="36"/>
      <c r="T73" s="36"/>
      <c r="U73" s="36"/>
      <c r="V73" s="37"/>
      <c r="W73" s="37"/>
      <c r="X73" s="38"/>
      <c r="Y73" s="38"/>
      <c r="Z73" s="38"/>
      <c r="AA73" s="38"/>
      <c r="AB73" s="38"/>
      <c r="AC73" s="39"/>
      <c r="AD73" s="39"/>
    </row>
    <row r="74" spans="1:30"/>
    <row r="75" spans="1:30" ht="10.5">
      <c r="C75" s="13" t="str">
        <f>B73</f>
        <v>Regulatory years</v>
      </c>
      <c r="D75" s="21" t="s">
        <v>47</v>
      </c>
      <c r="E75" s="21"/>
      <c r="F75" s="14"/>
      <c r="G75" s="14" t="s">
        <v>239</v>
      </c>
      <c r="H75" s="14" t="s">
        <v>55</v>
      </c>
    </row>
    <row r="76" spans="1:30" ht="10.5">
      <c r="C76" s="15" t="s">
        <v>240</v>
      </c>
      <c r="D76" s="16" t="s">
        <v>126</v>
      </c>
      <c r="E76" s="21"/>
      <c r="F76" s="14"/>
      <c r="G76" s="111" t="str">
        <f>IF(H76="","",IF(MONTH(H76)=12,YEAR(H76),YEAR(H76)-1&amp;"–"&amp;RIGHT(YEAR(H76),2)))</f>
        <v>2018–19</v>
      </c>
      <c r="H76" s="112">
        <f>DATE(PPFirstYear-1,MONTH('Input|General'!$G$9),1)</f>
        <v>43617</v>
      </c>
    </row>
    <row r="77" spans="1:30">
      <c r="C77" s="15" t="s">
        <v>241</v>
      </c>
      <c r="D77" s="16" t="s">
        <v>126</v>
      </c>
      <c r="E77" s="16"/>
      <c r="F77" s="16"/>
      <c r="G77" s="111" t="str">
        <f t="shared" ref="G77:G86" si="1">IF(H77="","",IF(MONTH(H77)=12,YEAR(H77),YEAR(H77)-1&amp;"–"&amp;RIGHT(YEAR(H77),2)))</f>
        <v>2019–20</v>
      </c>
      <c r="H77" s="112">
        <f>DATE(PPFirstYear,MONTH('Input|General'!$G$9),1)</f>
        <v>43983</v>
      </c>
    </row>
    <row r="78" spans="1:30">
      <c r="C78" s="15" t="s">
        <v>242</v>
      </c>
      <c r="D78" s="16" t="s">
        <v>126</v>
      </c>
      <c r="E78" s="16"/>
      <c r="F78" s="16"/>
      <c r="G78" s="111" t="str">
        <f t="shared" si="1"/>
        <v>2020–21</v>
      </c>
      <c r="H78" s="112">
        <f>IF(PPLastYear-PPFirstYear&lt;1,"",DATE(PPFirstYear+1,MONTH('Input|General'!$G$9),1))</f>
        <v>44348</v>
      </c>
    </row>
    <row r="79" spans="1:30">
      <c r="C79" s="15" t="s">
        <v>243</v>
      </c>
      <c r="D79" s="16" t="s">
        <v>126</v>
      </c>
      <c r="E79" s="16"/>
      <c r="F79" s="16"/>
      <c r="G79" s="111" t="str">
        <f t="shared" si="1"/>
        <v>2021–22</v>
      </c>
      <c r="H79" s="112">
        <f>IF(PPLastYear-PPFirstYear&lt;2,"",DATE(PPFirstYear+2,MONTH('Input|General'!$G$9),1))</f>
        <v>44713</v>
      </c>
    </row>
    <row r="80" spans="1:30">
      <c r="C80" s="15" t="s">
        <v>244</v>
      </c>
      <c r="D80" s="16" t="s">
        <v>126</v>
      </c>
      <c r="E80" s="16"/>
      <c r="F80" s="16"/>
      <c r="G80" s="111" t="str">
        <f t="shared" si="1"/>
        <v>2022–23</v>
      </c>
      <c r="H80" s="112">
        <f>IF(PPLastYear-PPFirstYear&lt;3,"",DATE(PPFirstYear+3,MONTH('Input|General'!$G$9),1))</f>
        <v>45078</v>
      </c>
    </row>
    <row r="81" spans="1:30">
      <c r="C81" s="15" t="s">
        <v>245</v>
      </c>
      <c r="D81" s="16" t="s">
        <v>126</v>
      </c>
      <c r="E81" s="16"/>
      <c r="F81" s="16"/>
      <c r="G81" s="111" t="str">
        <f t="shared" si="1"/>
        <v>2023–24</v>
      </c>
      <c r="H81" s="112">
        <f>IF(PPLastYear-PPFirstYear&lt;4,"",DATE(PPFirstYear+4,MONTH('Input|General'!$G$9),1))</f>
        <v>45444</v>
      </c>
    </row>
    <row r="82" spans="1:30">
      <c r="C82" s="15" t="s">
        <v>246</v>
      </c>
      <c r="D82" s="16" t="s">
        <v>126</v>
      </c>
      <c r="E82" s="16"/>
      <c r="F82" s="16"/>
      <c r="G82" s="111" t="str">
        <f t="shared" si="1"/>
        <v/>
      </c>
      <c r="H82" s="112" t="str">
        <f>IF(PPLastYear-PPFirstYear&lt;5,"",DATE(PPFirstYear+5,MONTH('Input|General'!$G$9),1))</f>
        <v/>
      </c>
    </row>
    <row r="83" spans="1:30">
      <c r="C83" s="15" t="s">
        <v>247</v>
      </c>
      <c r="D83" s="16" t="s">
        <v>126</v>
      </c>
      <c r="E83" s="16"/>
      <c r="F83" s="16"/>
      <c r="G83" s="111" t="str">
        <f t="shared" si="1"/>
        <v>2024–25</v>
      </c>
      <c r="H83" s="112">
        <f>DATE(FPFirstYear,MONTH('Input|General'!$G$9),1)</f>
        <v>45809</v>
      </c>
      <c r="T83" s="17"/>
    </row>
    <row r="84" spans="1:30">
      <c r="C84" s="15" t="s">
        <v>248</v>
      </c>
      <c r="D84" s="16" t="s">
        <v>126</v>
      </c>
      <c r="E84" s="16"/>
      <c r="F84" s="16"/>
      <c r="G84" s="111" t="str">
        <f t="shared" si="1"/>
        <v>2025–26</v>
      </c>
      <c r="H84" s="112">
        <f>IF(FPLastYear-FPFirstYear&lt;1,"",DATE(FPFirstYear+1,MONTH('Input|General'!$G$9),1))</f>
        <v>46174</v>
      </c>
      <c r="T84" s="17"/>
    </row>
    <row r="85" spans="1:30">
      <c r="C85" s="15" t="s">
        <v>249</v>
      </c>
      <c r="D85" s="16" t="s">
        <v>126</v>
      </c>
      <c r="E85" s="16"/>
      <c r="F85" s="16"/>
      <c r="G85" s="111" t="str">
        <f t="shared" si="1"/>
        <v>2026–27</v>
      </c>
      <c r="H85" s="112">
        <f>IF(FPLastYear-FPFirstYear&lt;2,"",DATE(FPFirstYear+2,MONTH('Input|General'!$G$9),1))</f>
        <v>46539</v>
      </c>
      <c r="T85" s="17"/>
    </row>
    <row r="86" spans="1:30">
      <c r="C86" s="15" t="s">
        <v>250</v>
      </c>
      <c r="D86" s="16" t="s">
        <v>126</v>
      </c>
      <c r="E86" s="16"/>
      <c r="F86" s="16"/>
      <c r="G86" s="111" t="str">
        <f t="shared" si="1"/>
        <v/>
      </c>
      <c r="H86" s="112" t="str">
        <f>IF(FPLastYear-FPFirstYear&lt;3,"",DATE(FPFirstYear+3,MONTH('Input|General'!$G$9),1))</f>
        <v/>
      </c>
      <c r="T86" s="17"/>
    </row>
    <row r="87" spans="1:30">
      <c r="C87" s="15" t="s">
        <v>251</v>
      </c>
      <c r="D87" s="16" t="s">
        <v>126</v>
      </c>
      <c r="E87" s="16"/>
      <c r="F87" s="16"/>
      <c r="G87" s="111" t="str">
        <f>IF(H87="","",IF(MONTH(H87)=12,YEAR(H87),YEAR(H87)-1&amp;"–"&amp;RIGHT(YEAR(H87),2)))</f>
        <v/>
      </c>
      <c r="H87" s="112" t="str">
        <f>IF(FPLastYear-FPFirstYear&lt;4,"",DATE(FPFirstYear+4,MONTH('Input|General'!$G$9),1))</f>
        <v/>
      </c>
      <c r="T87" s="17"/>
    </row>
    <row r="88" spans="1:30">
      <c r="C88" s="15"/>
      <c r="D88" s="16"/>
      <c r="E88" s="16"/>
      <c r="F88" s="16"/>
      <c r="G88" s="119"/>
      <c r="H88" s="120"/>
      <c r="T88" s="17"/>
    </row>
    <row r="89" spans="1:30" customFormat="1" ht="12.3">
      <c r="A89" s="34"/>
      <c r="B89" s="40" t="s">
        <v>37</v>
      </c>
      <c r="C89" s="34"/>
      <c r="D89" s="34"/>
      <c r="E89" s="34"/>
      <c r="F89" s="35"/>
      <c r="G89" s="35"/>
      <c r="H89" s="35"/>
      <c r="I89" s="35"/>
      <c r="J89" s="36"/>
      <c r="K89" s="37"/>
      <c r="L89" s="36"/>
      <c r="M89" s="37"/>
      <c r="N89" s="36"/>
      <c r="O89" s="36"/>
      <c r="P89" s="36"/>
      <c r="Q89" s="36"/>
      <c r="R89" s="36"/>
      <c r="S89" s="36"/>
      <c r="T89" s="36"/>
      <c r="U89" s="36"/>
      <c r="V89" s="37"/>
      <c r="W89" s="37"/>
      <c r="X89" s="38"/>
      <c r="Y89" s="38"/>
      <c r="Z89" s="38"/>
      <c r="AA89" s="38"/>
      <c r="AB89" s="38"/>
      <c r="AC89" s="39"/>
      <c r="AD89" s="39"/>
    </row>
  </sheetData>
  <conditionalFormatting sqref="P21:Q32">
    <cfRule type="expression" dxfId="11" priority="55" stopIfTrue="1">
      <formula>#REF!="Actual"</formula>
    </cfRule>
  </conditionalFormatting>
  <conditionalFormatting sqref="P72:Q72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hyperlinks>
    <hyperlink ref="J1" location="Index!A1" display="Back to Index" xr:uid="{00000000-0004-0000-0B00-000000000000}"/>
    <hyperlink ref="U1" location="'Check|List'!A1" display="Overall Check:" xr:uid="{00000000-0004-0000-0B00-000001000000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showGridLines="0" workbookViewId="0"/>
  </sheetViews>
  <sheetFormatPr defaultColWidth="0" defaultRowHeight="10.199999999999999" zeroHeight="1"/>
  <cols>
    <col min="1" max="2" width="1.46484375" style="8" customWidth="1"/>
    <col min="3" max="3" width="42" style="8" customWidth="1"/>
    <col min="4" max="4" width="26.33203125" style="7" bestFit="1" customWidth="1"/>
    <col min="5" max="5" width="15.796875" style="7" customWidth="1"/>
    <col min="6" max="6" width="10.6640625" style="7" customWidth="1"/>
    <col min="7" max="7" width="15" style="16" customWidth="1"/>
    <col min="8" max="9" width="5.33203125" style="8" customWidth="1"/>
    <col min="10" max="20" width="10.796875" style="8" customWidth="1"/>
    <col min="21" max="23" width="10.796875" style="8" hidden="1" customWidth="1"/>
    <col min="24" max="38" width="10.46484375" style="8" hidden="1" customWidth="1"/>
    <col min="39" max="16384" width="10.46484375" style="8" hidden="1"/>
  </cols>
  <sheetData>
    <row r="1" spans="1:30" s="29" customFormat="1" ht="15">
      <c r="B1" s="26" t="str">
        <f>Index!$B$1</f>
        <v>AER opex model - version: NTESMO 2024-27</v>
      </c>
      <c r="C1" s="26"/>
      <c r="D1" s="26"/>
      <c r="E1" s="26"/>
      <c r="F1" s="27"/>
      <c r="G1" s="27"/>
      <c r="H1" s="27"/>
      <c r="I1" s="27"/>
      <c r="J1" s="28" t="s">
        <v>38</v>
      </c>
      <c r="L1" s="30" t="s">
        <v>39</v>
      </c>
      <c r="M1" s="48" t="s">
        <v>40</v>
      </c>
      <c r="N1" s="11" t="s">
        <v>41</v>
      </c>
      <c r="O1" s="12" t="s">
        <v>42</v>
      </c>
      <c r="R1" s="109" t="s">
        <v>44</v>
      </c>
      <c r="S1" s="31" t="str">
        <f>IF(COUNTIF(G10:G16,"Check")=0,"Ok","Check")</f>
        <v>Ok</v>
      </c>
      <c r="U1" s="30"/>
      <c r="V1" s="31"/>
    </row>
    <row r="2" spans="1:30" s="29" customFormat="1" ht="12.6">
      <c r="B2" s="43" t="str">
        <f>Index!$C$16</f>
        <v>Check | List</v>
      </c>
      <c r="C2" s="43"/>
      <c r="D2" s="43"/>
      <c r="E2" s="43"/>
      <c r="F2" s="44"/>
      <c r="G2" s="44"/>
      <c r="H2" s="44"/>
      <c r="I2" s="44"/>
    </row>
    <row r="3" spans="1:30" s="47" customFormat="1" ht="12.3">
      <c r="A3" s="34"/>
      <c r="B3" s="40"/>
      <c r="C3" s="34"/>
      <c r="D3" s="34"/>
      <c r="E3" s="34"/>
      <c r="F3" s="35"/>
      <c r="G3" s="35"/>
      <c r="H3" s="35"/>
      <c r="I3" s="35"/>
      <c r="J3" s="36"/>
      <c r="K3" s="37"/>
      <c r="L3" s="36"/>
      <c r="M3" s="37"/>
      <c r="N3" s="36"/>
      <c r="O3" s="36"/>
      <c r="P3" s="36"/>
      <c r="Q3" s="36"/>
      <c r="R3" s="36"/>
      <c r="S3" s="36"/>
      <c r="T3" s="36"/>
      <c r="U3" s="36"/>
      <c r="V3" s="37"/>
      <c r="W3" s="37"/>
      <c r="X3" s="45"/>
      <c r="Y3" s="45"/>
      <c r="Z3" s="45"/>
      <c r="AA3" s="45"/>
      <c r="AB3" s="45"/>
      <c r="AC3" s="46"/>
      <c r="AD3" s="46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3">
      <c r="A7" s="34"/>
      <c r="B7" s="40" t="s">
        <v>252</v>
      </c>
      <c r="C7" s="34"/>
      <c r="D7" s="34"/>
      <c r="E7" s="34"/>
      <c r="F7" s="35"/>
      <c r="G7" s="35"/>
      <c r="H7" s="35"/>
      <c r="I7" s="35"/>
      <c r="J7" s="36"/>
      <c r="K7" s="37"/>
      <c r="L7" s="36"/>
      <c r="M7" s="37"/>
      <c r="N7" s="36"/>
      <c r="O7" s="36"/>
      <c r="P7" s="36"/>
      <c r="Q7" s="36"/>
      <c r="R7" s="36"/>
      <c r="S7" s="36"/>
      <c r="T7" s="36"/>
      <c r="U7" s="36"/>
      <c r="V7" s="37"/>
      <c r="W7" s="37"/>
      <c r="X7" s="38"/>
      <c r="Y7" s="38"/>
      <c r="Z7" s="38"/>
      <c r="AA7" s="38"/>
      <c r="AB7" s="38"/>
      <c r="AC7" s="39"/>
      <c r="AD7" s="39"/>
    </row>
    <row r="8" spans="1:30"/>
    <row r="9" spans="1:30" ht="10.5">
      <c r="C9" s="13" t="s">
        <v>253</v>
      </c>
      <c r="D9" s="14" t="s">
        <v>47</v>
      </c>
      <c r="E9" s="14" t="s">
        <v>70</v>
      </c>
      <c r="F9" s="14"/>
      <c r="G9" s="14" t="s">
        <v>254</v>
      </c>
    </row>
    <row r="10" spans="1:30" ht="10.5">
      <c r="C10" s="15" t="str">
        <f>Index!C7</f>
        <v>Input | General</v>
      </c>
      <c r="D10" s="25" t="str">
        <f>C10</f>
        <v>Input | General</v>
      </c>
      <c r="E10" s="16" t="s">
        <v>139</v>
      </c>
      <c r="F10" s="16"/>
      <c r="G10" s="18" t="str">
        <f>'Input|General'!S1</f>
        <v>OK</v>
      </c>
      <c r="T10" s="17"/>
    </row>
    <row r="11" spans="1:30" ht="10.5">
      <c r="C11" s="15" t="str">
        <f>Index!C8</f>
        <v>Input | Inflation</v>
      </c>
      <c r="D11" s="103" t="str">
        <f>C11</f>
        <v>Input | Inflation</v>
      </c>
      <c r="E11" s="16" t="s">
        <v>139</v>
      </c>
      <c r="F11" s="16"/>
      <c r="G11" s="18" t="str">
        <f>'Input|Inflation'!V1</f>
        <v>OK</v>
      </c>
      <c r="T11" s="17"/>
    </row>
    <row r="12" spans="1:30" ht="10.5">
      <c r="C12" s="15" t="str">
        <f>Index!C10</f>
        <v>Input | Reported opex</v>
      </c>
      <c r="D12" s="25" t="str">
        <f t="shared" ref="D12:D16" si="0">C12</f>
        <v>Input | Reported opex</v>
      </c>
      <c r="E12" s="16" t="s">
        <v>139</v>
      </c>
      <c r="G12" s="18" t="str">
        <f>'Input|Reported opex'!S1</f>
        <v>OK</v>
      </c>
      <c r="H12" s="16"/>
      <c r="T12" s="17"/>
    </row>
    <row r="13" spans="1:30" ht="10.5">
      <c r="C13" s="15" t="str">
        <f>Index!C11</f>
        <v>Input | Rate of change</v>
      </c>
      <c r="D13" s="25" t="str">
        <f t="shared" si="0"/>
        <v>Input | Rate of change</v>
      </c>
      <c r="E13" s="16" t="s">
        <v>139</v>
      </c>
      <c r="F13" s="16"/>
      <c r="G13" s="18" t="str">
        <f>'Input|Rate of change'!T1</f>
        <v>Ok</v>
      </c>
      <c r="H13" s="16"/>
      <c r="T13" s="17"/>
    </row>
    <row r="14" spans="1:30" ht="10.5">
      <c r="C14" s="15" t="str">
        <f>Index!C12</f>
        <v>Input | Step changes</v>
      </c>
      <c r="D14" s="25" t="str">
        <f t="shared" si="0"/>
        <v>Input | Step changes</v>
      </c>
      <c r="E14" s="16" t="s">
        <v>139</v>
      </c>
      <c r="F14" s="16"/>
      <c r="G14" s="18" t="str">
        <f>'Input|Step changes'!S1</f>
        <v>OK</v>
      </c>
      <c r="H14" s="16"/>
      <c r="T14" s="17"/>
    </row>
    <row r="15" spans="1:30" ht="10.5">
      <c r="C15" s="15" t="str">
        <f>Index!C13</f>
        <v>Calc | Opex Forecast</v>
      </c>
      <c r="D15" s="25" t="str">
        <f t="shared" si="0"/>
        <v>Calc | Opex Forecast</v>
      </c>
      <c r="E15" s="16" t="s">
        <v>139</v>
      </c>
      <c r="F15" s="16"/>
      <c r="G15" s="18" t="str">
        <f>'Calc|Opex forecast'!S1</f>
        <v>n/a</v>
      </c>
      <c r="H15" s="16"/>
      <c r="T15" s="17"/>
    </row>
    <row r="16" spans="1:30" ht="10.5">
      <c r="C16" s="15" t="str">
        <f>Index!C14</f>
        <v>Output | Models</v>
      </c>
      <c r="D16" s="25" t="str">
        <f t="shared" si="0"/>
        <v>Output | Models</v>
      </c>
      <c r="E16" s="16" t="s">
        <v>139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2.3">
      <c r="A18" s="34"/>
      <c r="B18" s="40" t="s">
        <v>37</v>
      </c>
      <c r="C18" s="34"/>
      <c r="D18" s="34"/>
      <c r="E18" s="34"/>
      <c r="F18" s="35"/>
      <c r="G18" s="35"/>
      <c r="H18" s="35"/>
      <c r="I18" s="35"/>
      <c r="J18" s="36"/>
      <c r="K18" s="37"/>
      <c r="L18" s="36"/>
      <c r="M18" s="37"/>
      <c r="N18" s="36"/>
      <c r="O18" s="36"/>
      <c r="P18" s="36"/>
      <c r="Q18" s="36"/>
      <c r="R18" s="36"/>
      <c r="S18" s="36"/>
      <c r="T18" s="36"/>
      <c r="U18" s="36"/>
      <c r="V18" s="37"/>
      <c r="W18" s="37"/>
      <c r="X18" s="38"/>
      <c r="Y18" s="38"/>
      <c r="Z18" s="38"/>
      <c r="AA18" s="38"/>
      <c r="AB18" s="38"/>
      <c r="AC18" s="39"/>
      <c r="AD18" s="39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hyperlinks>
    <hyperlink ref="J1" location="Index!A1" display="Back to Index" xr:uid="{00000000-0004-0000-0C00-000000000000}"/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R1" location="'Check|List'!A1" display="Overall Check:" xr:uid="{00000000-0004-0000-0C00-000009000000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showGridLines="0" zoomScaleNormal="100" workbookViewId="0"/>
  </sheetViews>
  <sheetFormatPr defaultColWidth="0" defaultRowHeight="10.199999999999999" zeroHeight="1"/>
  <cols>
    <col min="1" max="2" width="1.46484375" style="8" customWidth="1"/>
    <col min="3" max="3" width="42" style="8" customWidth="1"/>
    <col min="4" max="4" width="11.1328125" style="16" customWidth="1"/>
    <col min="5" max="6" width="3.33203125" style="16" customWidth="1"/>
    <col min="7" max="7" width="16.1328125" style="16" bestFit="1" customWidth="1"/>
    <col min="8" max="9" width="3.33203125" style="16" customWidth="1"/>
    <col min="10" max="23" width="10.796875" style="8" customWidth="1"/>
    <col min="24" max="38" width="10.46484375" style="8" hidden="1" customWidth="1"/>
    <col min="39" max="16384" width="10.46484375" style="8" hidden="1"/>
  </cols>
  <sheetData>
    <row r="1" spans="1:30" s="29" customFormat="1" ht="15">
      <c r="B1" s="26" t="str">
        <f>Index!$B$1</f>
        <v>AER opex model - version: NTESMO 2024-27</v>
      </c>
      <c r="C1" s="26"/>
      <c r="D1" s="26"/>
      <c r="E1" s="26"/>
      <c r="F1" s="27"/>
      <c r="G1" s="27"/>
      <c r="H1" s="27"/>
      <c r="I1" s="27"/>
      <c r="J1" s="28" t="s">
        <v>38</v>
      </c>
      <c r="L1" s="30" t="s">
        <v>39</v>
      </c>
      <c r="M1" s="48" t="s">
        <v>40</v>
      </c>
      <c r="N1" s="11" t="s">
        <v>41</v>
      </c>
      <c r="O1" s="12" t="s">
        <v>42</v>
      </c>
      <c r="R1" s="30" t="s">
        <v>43</v>
      </c>
      <c r="S1" s="31" t="str">
        <f>IF(COUNTA($S$5:$S$16)=COUNTIF($S5:$S17,"OK"),"OK","Check")</f>
        <v>OK</v>
      </c>
      <c r="U1" s="113" t="s">
        <v>44</v>
      </c>
      <c r="V1" s="31" t="str">
        <f>'Check|List'!$S$1</f>
        <v>Ok</v>
      </c>
    </row>
    <row r="2" spans="1:30" s="33" customFormat="1" ht="12.9" thickBot="1">
      <c r="B2" s="32" t="str">
        <f>Index!$C$7</f>
        <v>Input | General</v>
      </c>
      <c r="C2" s="32"/>
      <c r="D2" s="32"/>
      <c r="E2" s="32"/>
      <c r="F2" s="55"/>
      <c r="G2" s="55"/>
      <c r="H2" s="55"/>
      <c r="I2" s="55"/>
    </row>
    <row r="3" spans="1:30" s="6" customFormat="1" ht="3" customHeight="1">
      <c r="D3" s="22"/>
      <c r="E3" s="22"/>
      <c r="F3" s="22"/>
      <c r="G3" s="22"/>
      <c r="H3" s="22"/>
      <c r="I3" s="22"/>
    </row>
    <row r="4" spans="1:30" customFormat="1" ht="12.3">
      <c r="A4" s="34"/>
      <c r="B4" s="40" t="s">
        <v>45</v>
      </c>
      <c r="C4" s="34"/>
      <c r="D4" s="34"/>
      <c r="E4" s="34"/>
      <c r="F4" s="35"/>
      <c r="G4" s="35"/>
      <c r="H4" s="35"/>
      <c r="I4" s="35"/>
      <c r="J4" s="36"/>
      <c r="K4" s="37"/>
      <c r="L4" s="36"/>
      <c r="M4" s="37"/>
      <c r="N4" s="36"/>
      <c r="O4" s="36"/>
      <c r="P4" s="36"/>
      <c r="Q4" s="36"/>
      <c r="R4" s="36"/>
      <c r="S4" s="36"/>
      <c r="T4" s="36"/>
      <c r="U4" s="36"/>
      <c r="V4" s="37"/>
      <c r="W4" s="37"/>
      <c r="X4" s="38"/>
      <c r="Y4" s="38"/>
      <c r="Z4" s="38"/>
      <c r="AA4" s="38"/>
      <c r="AB4" s="38"/>
      <c r="AC4" s="39"/>
      <c r="AD4" s="39"/>
    </row>
    <row r="5" spans="1:30"/>
    <row r="6" spans="1:30" ht="10.5">
      <c r="C6" s="13" t="s">
        <v>46</v>
      </c>
      <c r="D6" s="21" t="s">
        <v>47</v>
      </c>
      <c r="E6" s="21"/>
      <c r="F6" s="14"/>
      <c r="G6" s="14" t="s">
        <v>48</v>
      </c>
      <c r="H6" s="14"/>
      <c r="I6" s="8"/>
    </row>
    <row r="7" spans="1:30" ht="10.5">
      <c r="C7" s="8" t="s">
        <v>49</v>
      </c>
      <c r="D7" s="16" t="s">
        <v>50</v>
      </c>
      <c r="E7" s="8"/>
      <c r="F7" s="8"/>
      <c r="G7" s="41" t="s">
        <v>51</v>
      </c>
      <c r="H7" s="8"/>
      <c r="I7" s="8"/>
      <c r="S7" s="84" t="str">
        <f>IF(COUNTBLANK($G7),"Check","Ok")</f>
        <v>Ok</v>
      </c>
    </row>
    <row r="8" spans="1:30" ht="10.5">
      <c r="C8" s="8" t="s">
        <v>52</v>
      </c>
      <c r="D8" s="16" t="s">
        <v>53</v>
      </c>
      <c r="E8" s="8"/>
      <c r="F8" s="8"/>
      <c r="G8" s="41" t="s">
        <v>54</v>
      </c>
      <c r="H8" s="8"/>
      <c r="I8" s="8"/>
      <c r="S8" s="84" t="str">
        <f>IF(COUNTBLANK($G8),"Check","Ok")</f>
        <v>Ok</v>
      </c>
    </row>
    <row r="9" spans="1:30" ht="10.5">
      <c r="C9" s="8" t="s">
        <v>55</v>
      </c>
      <c r="D9" s="16" t="s">
        <v>50</v>
      </c>
      <c r="E9" s="8"/>
      <c r="F9" s="8"/>
      <c r="G9" s="95">
        <v>36678</v>
      </c>
      <c r="H9" s="8"/>
      <c r="I9" s="8"/>
      <c r="S9" s="84" t="str">
        <f>IF(COUNTBLANK($G9),"Check","Ok")</f>
        <v>Ok</v>
      </c>
    </row>
    <row r="10" spans="1:30" ht="10.5">
      <c r="C10" s="8" t="s">
        <v>56</v>
      </c>
      <c r="D10" s="16" t="s">
        <v>50</v>
      </c>
      <c r="E10" s="8"/>
      <c r="F10" s="8"/>
      <c r="G10" s="96">
        <v>2020</v>
      </c>
      <c r="H10" s="8"/>
      <c r="I10" s="8"/>
      <c r="S10" s="84" t="str">
        <f t="shared" ref="S10:S15" si="0">IF(COUNTBLANK($G10),"Check","Ok")</f>
        <v>Ok</v>
      </c>
    </row>
    <row r="11" spans="1:30" ht="10.5">
      <c r="C11" s="8" t="s">
        <v>57</v>
      </c>
      <c r="D11" s="16" t="s">
        <v>50</v>
      </c>
      <c r="E11" s="8"/>
      <c r="F11" s="8"/>
      <c r="G11" s="96">
        <v>2023</v>
      </c>
      <c r="H11" s="8"/>
      <c r="I11" s="8"/>
      <c r="S11" s="84" t="str">
        <f t="shared" si="0"/>
        <v>Ok</v>
      </c>
    </row>
    <row r="12" spans="1:30" ht="10.5">
      <c r="C12" s="8" t="s">
        <v>58</v>
      </c>
      <c r="D12" s="16" t="s">
        <v>50</v>
      </c>
      <c r="E12" s="8"/>
      <c r="F12" s="8"/>
      <c r="G12" s="96">
        <v>2024</v>
      </c>
      <c r="H12" s="8"/>
      <c r="I12" s="8"/>
      <c r="S12" s="84" t="str">
        <f t="shared" si="0"/>
        <v>Ok</v>
      </c>
    </row>
    <row r="13" spans="1:30" ht="10.5">
      <c r="C13" s="8" t="s">
        <v>59</v>
      </c>
      <c r="D13" s="16" t="s">
        <v>50</v>
      </c>
      <c r="E13" s="8"/>
      <c r="F13" s="8"/>
      <c r="G13" s="96">
        <v>2025</v>
      </c>
      <c r="H13" s="8"/>
      <c r="I13" s="8"/>
      <c r="S13" s="84" t="str">
        <f t="shared" si="0"/>
        <v>Ok</v>
      </c>
    </row>
    <row r="14" spans="1:30" ht="10.5">
      <c r="C14" s="8" t="s">
        <v>60</v>
      </c>
      <c r="D14" s="16" t="s">
        <v>50</v>
      </c>
      <c r="E14" s="8"/>
      <c r="F14" s="8"/>
      <c r="G14" s="96">
        <v>2027</v>
      </c>
      <c r="H14" s="8"/>
      <c r="I14" s="8"/>
      <c r="S14" s="84" t="str">
        <f t="shared" si="0"/>
        <v>Ok</v>
      </c>
    </row>
    <row r="15" spans="1:30" ht="10.5">
      <c r="C15" s="8" t="s">
        <v>61</v>
      </c>
      <c r="D15" s="16" t="s">
        <v>50</v>
      </c>
      <c r="E15" s="8"/>
      <c r="F15" s="8"/>
      <c r="G15" s="96" t="s">
        <v>62</v>
      </c>
      <c r="H15" s="8"/>
      <c r="I15" s="8"/>
      <c r="S15" s="84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2.3">
      <c r="A17" s="34"/>
      <c r="B17" s="40" t="s">
        <v>37</v>
      </c>
      <c r="C17" s="34"/>
      <c r="D17" s="34"/>
      <c r="E17" s="34"/>
      <c r="F17" s="35"/>
      <c r="G17" s="35"/>
      <c r="H17" s="35"/>
      <c r="I17" s="35"/>
      <c r="J17" s="36"/>
      <c r="K17" s="37"/>
      <c r="L17" s="36"/>
      <c r="M17" s="37"/>
      <c r="N17" s="36"/>
      <c r="O17" s="36"/>
      <c r="P17" s="36"/>
      <c r="Q17" s="36"/>
      <c r="R17" s="36"/>
      <c r="S17" s="36"/>
      <c r="T17" s="36"/>
      <c r="U17" s="36"/>
      <c r="V17" s="37"/>
      <c r="W17" s="37"/>
      <c r="X17" s="38"/>
      <c r="Y17" s="38"/>
      <c r="Z17" s="38"/>
      <c r="AA17" s="38"/>
      <c r="AB17" s="38"/>
      <c r="AC17" s="39"/>
      <c r="AD17" s="39"/>
    </row>
    <row r="18" spans="1:30" hidden="1">
      <c r="G18" s="21"/>
      <c r="H18" s="21"/>
    </row>
    <row r="19" spans="1:30" hidden="1">
      <c r="G19" s="21"/>
      <c r="H19" s="21"/>
    </row>
    <row r="20" spans="1:30" hidden="1">
      <c r="G20" s="21"/>
      <c r="H20" s="21"/>
    </row>
    <row r="21" spans="1:30" hidden="1">
      <c r="G21" s="21"/>
      <c r="H21" s="21"/>
    </row>
    <row r="22" spans="1:30" hidden="1">
      <c r="G22" s="21"/>
      <c r="H22" s="21"/>
    </row>
    <row r="23" spans="1:30" hidden="1">
      <c r="G23" s="21"/>
      <c r="H23" s="21"/>
    </row>
    <row r="24" spans="1:30" hidden="1">
      <c r="G24" s="21"/>
      <c r="H24" s="21"/>
    </row>
    <row r="25" spans="1:30" hidden="1">
      <c r="G25" s="21"/>
      <c r="H25" s="21"/>
    </row>
    <row r="26" spans="1:30" hidden="1">
      <c r="G26" s="21"/>
      <c r="H26" s="21"/>
    </row>
    <row r="27" spans="1:30" hidden="1">
      <c r="G27" s="21"/>
      <c r="H27" s="21"/>
    </row>
  </sheetData>
  <dataConsolidate/>
  <conditionalFormatting sqref="S1">
    <cfRule type="cellIs" dxfId="156" priority="1" operator="equal">
      <formula>"Check"</formula>
    </cfRule>
    <cfRule type="cellIs" dxfId="155" priority="2" operator="equal">
      <formula>"Ok"</formula>
    </cfRule>
  </conditionalFormatting>
  <conditionalFormatting sqref="S7:S15">
    <cfRule type="cellIs" dxfId="154" priority="5" operator="equal">
      <formula>"Check"</formula>
    </cfRule>
    <cfRule type="cellIs" dxfId="153" priority="6" operator="equal">
      <formula>"Ok"</formula>
    </cfRule>
  </conditionalFormatting>
  <conditionalFormatting sqref="V1">
    <cfRule type="cellIs" dxfId="152" priority="3" operator="equal">
      <formula>"Check"</formula>
    </cfRule>
    <cfRule type="cellIs" dxfId="151" priority="4" operator="equal">
      <formula>"Ok"</formula>
    </cfRule>
  </conditionalFormatting>
  <conditionalFormatting sqref="W14:W16">
    <cfRule type="cellIs" dxfId="150" priority="13" operator="equal">
      <formula>"Check"</formula>
    </cfRule>
    <cfRule type="cellIs" dxfId="149" priority="14" operator="equal">
      <formula>"Ok"</formula>
    </cfRule>
  </conditionalFormatting>
  <dataValidations count="2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'Lookup|Tables'!$G$36:$G$47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'Lookup|Tables'!$G$52:$G$71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90"/>
  <sheetViews>
    <sheetView showGridLines="0" zoomScaleNormal="100" workbookViewId="0"/>
  </sheetViews>
  <sheetFormatPr defaultColWidth="0" defaultRowHeight="11.25" customHeight="1" zeroHeight="1"/>
  <cols>
    <col min="1" max="2" width="1.46484375" style="8" customWidth="1"/>
    <col min="3" max="3" width="11.6640625" style="8" bestFit="1" customWidth="1"/>
    <col min="4" max="4" width="21.46484375" style="16" bestFit="1" customWidth="1"/>
    <col min="5" max="5" width="21.46484375" style="16" customWidth="1"/>
    <col min="6" max="9" width="15" style="16" customWidth="1"/>
    <col min="10" max="12" width="3.33203125" style="16" customWidth="1"/>
    <col min="13" max="26" width="10.796875" style="8" customWidth="1"/>
    <col min="27" max="41" width="10.46484375" style="8" hidden="1" customWidth="1"/>
    <col min="42" max="16384" width="10.46484375" style="8" hidden="1"/>
  </cols>
  <sheetData>
    <row r="1" spans="1:33" s="29" customFormat="1" ht="15">
      <c r="B1" s="26" t="str">
        <f>Index!$B$1</f>
        <v>AER opex model - version: NTESMO 2024-27</v>
      </c>
      <c r="C1" s="26"/>
      <c r="D1" s="26"/>
      <c r="E1" s="26"/>
      <c r="F1" s="26"/>
      <c r="G1" s="26"/>
      <c r="H1" s="26"/>
      <c r="I1" s="27"/>
      <c r="J1" s="27"/>
      <c r="K1" s="27"/>
      <c r="L1" s="27"/>
      <c r="M1" s="28" t="s">
        <v>38</v>
      </c>
      <c r="O1" s="30" t="s">
        <v>39</v>
      </c>
      <c r="P1" s="48" t="s">
        <v>40</v>
      </c>
      <c r="Q1" s="11" t="s">
        <v>41</v>
      </c>
      <c r="R1" s="12" t="s">
        <v>42</v>
      </c>
      <c r="U1" s="30" t="s">
        <v>43</v>
      </c>
      <c r="V1" s="31" t="str">
        <f>IF(COUNTA($V$5:$V$79)=COUNTIF($V5:$V80,"OK"),"OK","Check")</f>
        <v>OK</v>
      </c>
      <c r="X1" s="113" t="s">
        <v>44</v>
      </c>
      <c r="Y1" s="31" t="str">
        <f>'Check|List'!$S$1</f>
        <v>Ok</v>
      </c>
    </row>
    <row r="2" spans="1:33" s="33" customFormat="1" ht="12.9" thickBot="1">
      <c r="B2" s="32" t="str">
        <f>Index!$C$8</f>
        <v>Input | Inflation</v>
      </c>
      <c r="C2" s="32"/>
      <c r="D2" s="32"/>
      <c r="E2" s="32"/>
      <c r="F2" s="32"/>
      <c r="G2" s="32"/>
      <c r="H2" s="32"/>
      <c r="I2" s="55"/>
      <c r="J2" s="55"/>
      <c r="K2" s="55"/>
      <c r="L2" s="55"/>
    </row>
    <row r="3" spans="1:33" s="6" customFormat="1" ht="3" customHeight="1">
      <c r="D3" s="22"/>
      <c r="E3" s="22"/>
      <c r="F3" s="22"/>
      <c r="G3" s="22"/>
      <c r="H3" s="22"/>
      <c r="I3" s="22"/>
      <c r="J3" s="22"/>
      <c r="K3" s="22"/>
      <c r="L3" s="22"/>
    </row>
    <row r="4" spans="1:33" customFormat="1" ht="12.3">
      <c r="A4" s="34"/>
      <c r="B4" s="40" t="s">
        <v>45</v>
      </c>
      <c r="C4" s="34"/>
      <c r="D4" s="34"/>
      <c r="E4" s="34"/>
      <c r="F4" s="34"/>
      <c r="G4" s="34"/>
      <c r="H4" s="34"/>
      <c r="I4" s="35"/>
      <c r="J4" s="35"/>
      <c r="K4" s="35"/>
      <c r="L4" s="35"/>
      <c r="M4" s="36"/>
      <c r="N4" s="37"/>
      <c r="O4" s="36"/>
      <c r="P4" s="37"/>
      <c r="Q4" s="36"/>
      <c r="R4" s="36"/>
      <c r="S4" s="36"/>
      <c r="T4" s="36"/>
      <c r="U4" s="36"/>
      <c r="V4" s="36"/>
      <c r="W4" s="36"/>
      <c r="X4" s="36"/>
      <c r="Y4" s="37"/>
      <c r="Z4" s="37"/>
      <c r="AA4" s="38"/>
      <c r="AB4" s="38"/>
      <c r="AC4" s="38"/>
      <c r="AD4" s="38"/>
      <c r="AE4" s="38"/>
      <c r="AF4" s="39"/>
      <c r="AG4" s="39"/>
    </row>
    <row r="5" spans="1:33" ht="11.25" customHeight="1"/>
    <row r="6" spans="1:33" ht="51">
      <c r="D6" s="49" t="s">
        <v>63</v>
      </c>
      <c r="E6" s="49" t="s">
        <v>64</v>
      </c>
      <c r="F6" s="49" t="s">
        <v>63</v>
      </c>
      <c r="G6" s="49" t="s">
        <v>65</v>
      </c>
      <c r="H6" s="49" t="s">
        <v>66</v>
      </c>
      <c r="I6" s="49" t="s">
        <v>64</v>
      </c>
      <c r="J6" s="49"/>
      <c r="K6" s="8"/>
      <c r="L6" s="8"/>
    </row>
    <row r="7" spans="1:33" ht="10.5">
      <c r="C7" s="9" t="s">
        <v>47</v>
      </c>
      <c r="D7" s="53" t="s">
        <v>67</v>
      </c>
      <c r="E7" s="53" t="s">
        <v>68</v>
      </c>
      <c r="F7" s="53" t="s">
        <v>67</v>
      </c>
      <c r="G7" s="53" t="s">
        <v>69</v>
      </c>
      <c r="H7" s="53" t="s">
        <v>68</v>
      </c>
      <c r="I7" s="53" t="s">
        <v>68</v>
      </c>
      <c r="J7" s="53"/>
      <c r="K7" s="8"/>
      <c r="L7" s="8"/>
    </row>
    <row r="8" spans="1:33" ht="10.5">
      <c r="C8" s="9" t="s">
        <v>70</v>
      </c>
      <c r="D8" s="53" t="s">
        <v>71</v>
      </c>
      <c r="E8" s="53" t="s">
        <v>72</v>
      </c>
      <c r="F8" s="53" t="s">
        <v>71</v>
      </c>
      <c r="G8" s="53" t="s">
        <v>72</v>
      </c>
      <c r="H8" s="53" t="s">
        <v>71</v>
      </c>
      <c r="I8" s="53" t="s">
        <v>72</v>
      </c>
      <c r="J8" s="53"/>
      <c r="K8" s="8"/>
      <c r="L8" s="8"/>
    </row>
    <row r="9" spans="1:33" ht="10.5">
      <c r="C9" s="51">
        <v>39172</v>
      </c>
      <c r="D9" s="50">
        <v>155.6</v>
      </c>
      <c r="E9" s="8"/>
      <c r="F9" s="8"/>
      <c r="G9" s="8"/>
      <c r="H9" s="8"/>
      <c r="I9" s="8"/>
      <c r="J9" s="8"/>
      <c r="K9" s="8"/>
      <c r="L9" s="8"/>
      <c r="V9" s="84" t="str">
        <f>IF(C9&gt;EOMONTH(DATE('Input|General'!$G$12,MONTH('Input|General'!$G$9),1),0),"Ok",IF(D9="","Check","Ok"))</f>
        <v>Ok</v>
      </c>
    </row>
    <row r="10" spans="1:33" ht="10.5">
      <c r="C10" s="51">
        <v>39263</v>
      </c>
      <c r="D10" s="50">
        <v>157.5</v>
      </c>
      <c r="E10" s="8"/>
      <c r="F10" s="8"/>
      <c r="G10" s="8"/>
      <c r="H10" s="8"/>
      <c r="I10" s="8"/>
      <c r="J10" s="8"/>
      <c r="K10" s="8"/>
      <c r="L10" s="8"/>
      <c r="V10" s="84" t="str">
        <f>IF(C10&gt;EOMONTH(DATE('Input|General'!$G$12,MONTH('Input|General'!$G$9),1),0),"Ok",IF(D10="","Check","Ok"))</f>
        <v>Ok</v>
      </c>
    </row>
    <row r="11" spans="1:33" ht="10.5">
      <c r="C11" s="51">
        <v>39355</v>
      </c>
      <c r="D11" s="50">
        <v>158.6</v>
      </c>
      <c r="E11" s="8"/>
      <c r="F11" s="8"/>
      <c r="G11" s="8"/>
      <c r="H11" s="8"/>
      <c r="I11" s="8"/>
      <c r="J11" s="8"/>
      <c r="K11" s="8"/>
      <c r="L11" s="8"/>
      <c r="V11" s="84" t="str">
        <f>IF(C11&gt;EOMONTH(DATE('Input|General'!$G$12,MONTH('Input|General'!$G$9),1),0),"Ok",IF(D11="","Check","Ok"))</f>
        <v>Ok</v>
      </c>
    </row>
    <row r="12" spans="1:33" ht="10.5">
      <c r="C12" s="51">
        <v>39447</v>
      </c>
      <c r="D12" s="50">
        <v>160.1</v>
      </c>
      <c r="E12" s="8"/>
      <c r="F12" s="8"/>
      <c r="G12" s="8"/>
      <c r="H12" s="8"/>
      <c r="I12" s="52"/>
      <c r="J12" s="8"/>
      <c r="K12" s="8"/>
      <c r="L12" s="8"/>
      <c r="V12" s="84" t="str">
        <f>IF(C12&gt;EOMONTH(DATE('Input|General'!$G$12,MONTH('Input|General'!$G$9),1),0),"Ok",IF(D12="","Check","Ok"))</f>
        <v>Ok</v>
      </c>
    </row>
    <row r="13" spans="1:33" ht="10.5">
      <c r="C13" s="51">
        <v>39538</v>
      </c>
      <c r="D13" s="50">
        <v>162.19999999999999</v>
      </c>
      <c r="E13" s="75">
        <f>D13/D9-1</f>
        <v>4.2416452442159303E-2</v>
      </c>
      <c r="F13" s="8"/>
      <c r="G13" s="8"/>
      <c r="H13" s="8"/>
      <c r="I13" s="52"/>
      <c r="J13" s="8"/>
      <c r="K13" s="8"/>
      <c r="L13" s="8"/>
      <c r="V13" s="84" t="str">
        <f>IF(C13&gt;EOMONTH(DATE('Input|General'!$G$12,MONTH('Input|General'!$G$9),1),0),"Ok",IF(D13="","Check","Ok"))</f>
        <v>Ok</v>
      </c>
    </row>
    <row r="14" spans="1:33" ht="10.5">
      <c r="C14" s="51">
        <v>39629</v>
      </c>
      <c r="D14" s="50">
        <v>164.6</v>
      </c>
      <c r="E14" s="75">
        <f t="shared" ref="E14:E29" si="0">D14/D10-1</f>
        <v>4.5079365079365052E-2</v>
      </c>
      <c r="F14" s="8"/>
      <c r="G14" s="8"/>
      <c r="H14" s="8"/>
      <c r="I14" s="52"/>
      <c r="J14" s="8"/>
      <c r="K14" s="8"/>
      <c r="L14" s="8"/>
      <c r="V14" s="84" t="str">
        <f>IF(C14&gt;EOMONTH(DATE('Input|General'!$G$12,MONTH('Input|General'!$G$9),1),0),"Ok",IF(D14="","Check","Ok"))</f>
        <v>Ok</v>
      </c>
    </row>
    <row r="15" spans="1:33" ht="10.5">
      <c r="C15" s="51">
        <v>39721</v>
      </c>
      <c r="D15" s="50">
        <v>166.5</v>
      </c>
      <c r="E15" s="75">
        <f t="shared" si="0"/>
        <v>4.9810844892812067E-2</v>
      </c>
      <c r="F15" s="8"/>
      <c r="G15" s="8"/>
      <c r="H15" s="8"/>
      <c r="I15" s="52"/>
      <c r="J15" s="8"/>
      <c r="K15" s="8"/>
      <c r="L15" s="8"/>
      <c r="V15" s="84" t="str">
        <f>IF(C15&gt;EOMONTH(DATE('Input|General'!$G$12,MONTH('Input|General'!$G$9),1),0),"Ok",IF(D15="","Check","Ok"))</f>
        <v>Ok</v>
      </c>
    </row>
    <row r="16" spans="1:33" ht="10.5">
      <c r="C16" s="51">
        <v>39813</v>
      </c>
      <c r="D16" s="50">
        <v>166</v>
      </c>
      <c r="E16" s="75">
        <f t="shared" si="0"/>
        <v>3.6851967520299844E-2</v>
      </c>
      <c r="F16" s="8"/>
      <c r="G16" s="8"/>
      <c r="H16" s="8"/>
      <c r="I16" s="52"/>
      <c r="J16" s="8"/>
      <c r="K16" s="8"/>
      <c r="L16" s="8"/>
      <c r="V16" s="84" t="str">
        <f>IF(C16&gt;EOMONTH(DATE('Input|General'!$G$12,MONTH('Input|General'!$G$9),1),0),"Ok",IF(D16="","Check","Ok"))</f>
        <v>Ok</v>
      </c>
    </row>
    <row r="17" spans="3:22" ht="10.5">
      <c r="C17" s="51">
        <v>39903</v>
      </c>
      <c r="D17" s="50">
        <v>166.2</v>
      </c>
      <c r="E17" s="75">
        <f t="shared" si="0"/>
        <v>2.4660912453760897E-2</v>
      </c>
      <c r="F17" s="8"/>
      <c r="G17" s="8"/>
      <c r="H17" s="8"/>
      <c r="I17" s="52"/>
      <c r="J17" s="8"/>
      <c r="K17" s="8"/>
      <c r="L17" s="8"/>
      <c r="V17" s="84" t="str">
        <f>IF(C17&gt;EOMONTH(DATE('Input|General'!$G$12,MONTH('Input|General'!$G$9),1),0),"Ok",IF(D17="","Check","Ok"))</f>
        <v>Ok</v>
      </c>
    </row>
    <row r="18" spans="3:22" ht="10.5">
      <c r="C18" s="51">
        <v>39994</v>
      </c>
      <c r="D18" s="50">
        <v>167</v>
      </c>
      <c r="E18" s="75">
        <f t="shared" si="0"/>
        <v>1.4580801944106936E-2</v>
      </c>
      <c r="F18" s="8"/>
      <c r="G18" s="8"/>
      <c r="H18" s="8"/>
      <c r="I18" s="52"/>
      <c r="J18" s="8"/>
      <c r="K18" s="8"/>
      <c r="L18" s="8"/>
      <c r="V18" s="84" t="str">
        <f>IF(C18&gt;EOMONTH(DATE('Input|General'!$G$12,MONTH('Input|General'!$G$9),1),0),"Ok",IF(D18="","Check","Ok"))</f>
        <v>Ok</v>
      </c>
    </row>
    <row r="19" spans="3:22" ht="10.5">
      <c r="C19" s="51">
        <v>40086</v>
      </c>
      <c r="D19" s="50">
        <v>168.6</v>
      </c>
      <c r="E19" s="75">
        <f t="shared" si="0"/>
        <v>1.2612612612612484E-2</v>
      </c>
      <c r="F19" s="8"/>
      <c r="G19" s="8"/>
      <c r="H19" s="8"/>
      <c r="I19" s="52"/>
      <c r="J19" s="8"/>
      <c r="K19" s="8"/>
      <c r="L19" s="8"/>
      <c r="V19" s="84" t="str">
        <f>IF(C19&gt;EOMONTH(DATE('Input|General'!$G$12,MONTH('Input|General'!$G$9),1),0),"Ok",IF(D19="","Check","Ok"))</f>
        <v>Ok</v>
      </c>
    </row>
    <row r="20" spans="3:22" ht="10.5">
      <c r="C20" s="51">
        <v>40178</v>
      </c>
      <c r="D20" s="50">
        <v>169.5</v>
      </c>
      <c r="E20" s="75">
        <f t="shared" si="0"/>
        <v>2.108433734939763E-2</v>
      </c>
      <c r="F20" s="8"/>
      <c r="G20" s="8"/>
      <c r="H20" s="8"/>
      <c r="I20" s="52"/>
      <c r="J20" s="8"/>
      <c r="K20" s="8"/>
      <c r="L20" s="8"/>
      <c r="V20" s="84" t="str">
        <f>IF(C20&gt;EOMONTH(DATE('Input|General'!$G$12,MONTH('Input|General'!$G$9),1),0),"Ok",IF(D20="","Check","Ok"))</f>
        <v>Ok</v>
      </c>
    </row>
    <row r="21" spans="3:22" ht="10.5">
      <c r="C21" s="51">
        <v>40268</v>
      </c>
      <c r="D21" s="50">
        <v>171</v>
      </c>
      <c r="E21" s="75">
        <f t="shared" si="0"/>
        <v>2.8880866425992746E-2</v>
      </c>
      <c r="F21" s="50">
        <v>95.2</v>
      </c>
      <c r="G21" s="124"/>
      <c r="H21" s="124">
        <f>IF(OR(ISBLANK(F21),F21=""),IF(COUNT(G21:G$78)=0,"",IF(OR(ISBLANK(G21),G21=""),AVERAGE(H20,H22),(1+G21)*H17)),F21)</f>
        <v>95.2</v>
      </c>
      <c r="I21" s="52"/>
      <c r="J21" s="114"/>
      <c r="K21" s="8"/>
      <c r="L21" s="8"/>
      <c r="V21" s="84" t="str">
        <f>IF(C21&gt;EOMONTH(DATE('Input|General'!$G$12,MONTH('Input|General'!$G$9),1),0),"Ok",IF(D21="","Check","Ok"))</f>
        <v>Ok</v>
      </c>
    </row>
    <row r="22" spans="3:22" ht="10.5">
      <c r="C22" s="51">
        <v>40359</v>
      </c>
      <c r="D22" s="50">
        <v>172.1</v>
      </c>
      <c r="E22" s="75">
        <f t="shared" si="0"/>
        <v>3.0538922155688653E-2</v>
      </c>
      <c r="F22" s="50">
        <v>95.8</v>
      </c>
      <c r="G22" s="124"/>
      <c r="H22" s="124">
        <f>IF(OR(ISBLANK(F22),F22=""),IF(COUNT(G22:G$78)=0,"",IF(OR(ISBLANK(G22),G22=""),AVERAGE(H21,H23),(1+G22)*H18)),F22)</f>
        <v>95.8</v>
      </c>
      <c r="I22" s="52"/>
      <c r="J22" s="114"/>
      <c r="K22" s="8"/>
      <c r="L22" s="8"/>
      <c r="V22" s="84" t="str">
        <f>IF(C22&gt;EOMONTH(DATE('Input|General'!$G$12,MONTH('Input|General'!$G$9),1),0),"Ok",IF(D22="","Check","Ok"))</f>
        <v>Ok</v>
      </c>
    </row>
    <row r="23" spans="3:22" ht="10.5">
      <c r="C23" s="51">
        <v>40451</v>
      </c>
      <c r="D23" s="50">
        <v>173.3</v>
      </c>
      <c r="E23" s="75">
        <f t="shared" si="0"/>
        <v>2.7876631079478242E-2</v>
      </c>
      <c r="F23" s="50">
        <v>96.5</v>
      </c>
      <c r="G23" s="124"/>
      <c r="H23" s="124">
        <f>IF(OR(ISBLANK(F23),F23=""),IF(COUNT(G23:G$78)=0,"",IF(OR(ISBLANK(G23),G23=""),AVERAGE(H22,H24),(1+G23)*H19)),F23)</f>
        <v>96.5</v>
      </c>
      <c r="I23" s="52"/>
      <c r="J23" s="114"/>
      <c r="K23" s="8"/>
      <c r="L23" s="8"/>
      <c r="V23" s="84" t="str">
        <f>IF(C23&gt;EOMONTH(DATE('Input|General'!$G$12,MONTH('Input|General'!$G$9),1),0),"Ok",IF(D23="","Check","Ok"))</f>
        <v>Ok</v>
      </c>
    </row>
    <row r="24" spans="3:22" ht="10.5">
      <c r="C24" s="51">
        <v>40543</v>
      </c>
      <c r="D24" s="50">
        <v>174</v>
      </c>
      <c r="E24" s="75">
        <f t="shared" si="0"/>
        <v>2.6548672566371723E-2</v>
      </c>
      <c r="F24" s="50">
        <v>96.9</v>
      </c>
      <c r="G24" s="124"/>
      <c r="H24" s="124">
        <f>IF(OR(ISBLANK(F24),F24=""),IF(COUNT(G24:G$78)=0,"",IF(OR(ISBLANK(G24),G24=""),AVERAGE(H23,H25),(1+G24)*H20)),F24)</f>
        <v>96.9</v>
      </c>
      <c r="I24" s="52"/>
      <c r="J24" s="114"/>
      <c r="K24" s="8"/>
      <c r="L24" s="8"/>
      <c r="V24" s="84" t="str">
        <f>IF(C24&gt;EOMONTH(DATE('Input|General'!$G$12,MONTH('Input|General'!$G$9),1),0),"Ok",IF(D24="","Check","Ok"))</f>
        <v>Ok</v>
      </c>
    </row>
    <row r="25" spans="3:22" ht="10.5">
      <c r="C25" s="51">
        <v>40633</v>
      </c>
      <c r="D25" s="50">
        <v>176.7</v>
      </c>
      <c r="E25" s="75">
        <f t="shared" si="0"/>
        <v>3.3333333333333215E-2</v>
      </c>
      <c r="F25" s="50">
        <v>98.3</v>
      </c>
      <c r="G25" s="124"/>
      <c r="H25" s="124">
        <f>IF(OR(ISBLANK(F25),F25=""),IF(COUNT(G25:G$78)=0,"",IF(OR(ISBLANK(G25),G25=""),AVERAGE(H24,H26),(1+G25)*H21)),F25)</f>
        <v>98.3</v>
      </c>
      <c r="I25" s="75">
        <f t="shared" ref="I25:I74" si="1">IF(H25="","",H25/H21-1)</f>
        <v>3.2563025210083918E-2</v>
      </c>
      <c r="J25" s="114"/>
      <c r="K25" s="8"/>
      <c r="L25" s="8"/>
      <c r="V25" s="84" t="str">
        <f>IF(C25&gt;EOMONTH(DATE('Input|General'!$G$12,MONTH('Input|General'!$G$9),1),0),"Ok",IF(D25="","Check","Ok"))</f>
        <v>Ok</v>
      </c>
    </row>
    <row r="26" spans="3:22" ht="10.5">
      <c r="C26" s="51">
        <v>40724</v>
      </c>
      <c r="D26" s="50">
        <v>178.3</v>
      </c>
      <c r="E26" s="75">
        <f t="shared" si="0"/>
        <v>3.6025566531086683E-2</v>
      </c>
      <c r="F26" s="50">
        <v>99.2</v>
      </c>
      <c r="G26" s="124"/>
      <c r="H26" s="124">
        <f>IF(OR(ISBLANK(F26),F26=""),IF(COUNT(G26:G$78)=0,"",IF(OR(ISBLANK(G26),G26=""),AVERAGE(H25,H27),(1+G26)*H22)),F26)</f>
        <v>99.2</v>
      </c>
      <c r="I26" s="75">
        <f t="shared" si="1"/>
        <v>3.5490605427975108E-2</v>
      </c>
      <c r="J26" s="114"/>
      <c r="K26" s="8"/>
      <c r="L26" s="8"/>
      <c r="V26" s="84" t="str">
        <f>IF(C26&gt;EOMONTH(DATE('Input|General'!$G$12,MONTH('Input|General'!$G$9),1),0),"Ok",IF(D26="","Check","Ok"))</f>
        <v>Ok</v>
      </c>
    </row>
    <row r="27" spans="3:22" ht="10.5">
      <c r="C27" s="51">
        <v>40816</v>
      </c>
      <c r="D27" s="50">
        <v>179.4</v>
      </c>
      <c r="E27" s="75">
        <f t="shared" si="0"/>
        <v>3.5199076745527913E-2</v>
      </c>
      <c r="F27" s="50">
        <v>99.8</v>
      </c>
      <c r="G27" s="124"/>
      <c r="H27" s="124">
        <f>IF(OR(ISBLANK(F27),F27=""),IF(COUNT(G27:G$78)=0,"",IF(OR(ISBLANK(G27),G27=""),AVERAGE(H26,H28),(1+G27)*H23)),F27)</f>
        <v>99.8</v>
      </c>
      <c r="I27" s="75">
        <f t="shared" si="1"/>
        <v>3.4196891191709877E-2</v>
      </c>
      <c r="J27" s="114"/>
      <c r="K27" s="8"/>
      <c r="L27" s="8"/>
      <c r="V27" s="84" t="str">
        <f>IF(C27&gt;EOMONTH(DATE('Input|General'!$G$12,MONTH('Input|General'!$G$9),1),0),"Ok",IF(D27="","Check","Ok"))</f>
        <v>Ok</v>
      </c>
    </row>
    <row r="28" spans="3:22" ht="10.5">
      <c r="C28" s="51">
        <v>40908</v>
      </c>
      <c r="D28" s="50">
        <v>179.4</v>
      </c>
      <c r="E28" s="75">
        <f t="shared" si="0"/>
        <v>3.1034482758620641E-2</v>
      </c>
      <c r="F28" s="50">
        <v>99.8</v>
      </c>
      <c r="G28" s="124"/>
      <c r="H28" s="124">
        <f>IF(OR(ISBLANK(F28),F28=""),IF(COUNT(G28:G$78)=0,"",IF(OR(ISBLANK(G28),G28=""),AVERAGE(H27,H29),(1+G28)*H24)),F28)</f>
        <v>99.8</v>
      </c>
      <c r="I28" s="75">
        <f t="shared" si="1"/>
        <v>2.9927760577915352E-2</v>
      </c>
      <c r="J28" s="114"/>
      <c r="K28" s="8"/>
      <c r="L28" s="8"/>
      <c r="V28" s="84" t="str">
        <f>IF(C28&gt;EOMONTH(DATE('Input|General'!$G$12,MONTH('Input|General'!$G$9),1),0),"Ok",IF(D28="","Check","Ok"))</f>
        <v>Ok</v>
      </c>
    </row>
    <row r="29" spans="3:22" ht="10.5">
      <c r="C29" s="51">
        <v>40999</v>
      </c>
      <c r="D29" s="50">
        <v>179.5</v>
      </c>
      <c r="E29" s="75">
        <f t="shared" si="0"/>
        <v>1.5846066779853007E-2</v>
      </c>
      <c r="F29" s="50">
        <v>99.9</v>
      </c>
      <c r="G29" s="124"/>
      <c r="H29" s="124">
        <f>IF(OR(ISBLANK(F29),F29=""),IF(COUNT(G29:G$78)=0,"",IF(OR(ISBLANK(G29),G29=""),AVERAGE(H28,H30),(1+G29)*H25)),F29)</f>
        <v>99.9</v>
      </c>
      <c r="I29" s="75">
        <f t="shared" si="1"/>
        <v>1.6276703967446737E-2</v>
      </c>
      <c r="J29" s="114"/>
      <c r="K29" s="8"/>
      <c r="L29" s="8"/>
      <c r="V29" s="84" t="str">
        <f>IF(C29&gt;EOMONTH(DATE('Input|General'!$G$12,MONTH('Input|General'!$G$9),1),0),"Ok",IF(D29="","Check","Ok"))</f>
        <v>Ok</v>
      </c>
    </row>
    <row r="30" spans="3:22" ht="10.5">
      <c r="C30" s="51">
        <v>41090</v>
      </c>
      <c r="D30" s="8"/>
      <c r="E30" s="8"/>
      <c r="F30" s="50">
        <v>100.4</v>
      </c>
      <c r="G30" s="124"/>
      <c r="H30" s="124">
        <f>IF(OR(ISBLANK(F30),F30=""),IF(COUNT(G30:G$78)=0,"",IF(OR(ISBLANK(G30),G30=""),AVERAGE(H29,H31),(1+G30)*H26)),F30)</f>
        <v>100.4</v>
      </c>
      <c r="I30" s="75">
        <f t="shared" si="1"/>
        <v>1.2096774193548487E-2</v>
      </c>
      <c r="J30" s="114"/>
      <c r="K30" s="8"/>
      <c r="L30" s="8"/>
      <c r="V30" s="84" t="str">
        <f>IF(C30&gt;EOMONTH(DATE('Input|General'!$G$12,MONTH('Input|General'!$G$9),1),0),"Ok",IF(I30="","Check","Ok"))</f>
        <v>Ok</v>
      </c>
    </row>
    <row r="31" spans="3:22" ht="10.5">
      <c r="C31" s="51">
        <v>41182</v>
      </c>
      <c r="D31" s="8"/>
      <c r="E31" s="8"/>
      <c r="F31" s="50">
        <v>101.8</v>
      </c>
      <c r="G31" s="124"/>
      <c r="H31" s="124">
        <f>IF(OR(ISBLANK(F31),F31=""),IF(COUNT(G31:G$78)=0,"",IF(OR(ISBLANK(G31),G31=""),AVERAGE(H30,H32),(1+G31)*H27)),F31)</f>
        <v>101.8</v>
      </c>
      <c r="I31" s="75">
        <f t="shared" si="1"/>
        <v>2.0040080160320661E-2</v>
      </c>
      <c r="J31" s="114"/>
      <c r="K31" s="8"/>
      <c r="L31" s="8"/>
      <c r="V31" s="84" t="str">
        <f>IF(C31&gt;EOMONTH(DATE('Input|General'!$G$12,MONTH('Input|General'!$G$9),1),0),"Ok",IF(I31="","Check","Ok"))</f>
        <v>Ok</v>
      </c>
    </row>
    <row r="32" spans="3:22" ht="10.5">
      <c r="C32" s="51">
        <v>41274</v>
      </c>
      <c r="D32" s="8"/>
      <c r="E32" s="8"/>
      <c r="F32" s="50">
        <v>102</v>
      </c>
      <c r="G32" s="124"/>
      <c r="H32" s="124">
        <f>IF(OR(ISBLANK(F32),F32=""),IF(COUNT(G32:G$78)=0,"",IF(OR(ISBLANK(G32),G32=""),AVERAGE(H31,H33),(1+G32)*H28)),F32)</f>
        <v>102</v>
      </c>
      <c r="I32" s="75">
        <f t="shared" si="1"/>
        <v>2.2044088176352838E-2</v>
      </c>
      <c r="J32" s="114"/>
      <c r="K32" s="8"/>
      <c r="L32" s="8"/>
      <c r="V32" s="84" t="str">
        <f>IF(C32&gt;EOMONTH(DATE('Input|General'!$G$12,MONTH('Input|General'!$G$9),1),0),"Ok",IF(I32="","Check","Ok"))</f>
        <v>Ok</v>
      </c>
    </row>
    <row r="33" spans="3:22" ht="10.5">
      <c r="C33" s="51">
        <v>41364</v>
      </c>
      <c r="D33" s="8"/>
      <c r="E33" s="8"/>
      <c r="F33" s="50">
        <v>102.4</v>
      </c>
      <c r="G33" s="124"/>
      <c r="H33" s="124">
        <f>IF(OR(ISBLANK(F33),F33=""),IF(COUNT(G33:G$78)=0,"",IF(OR(ISBLANK(G33),G33=""),AVERAGE(H32,H34),(1+G33)*H29)),F33)</f>
        <v>102.4</v>
      </c>
      <c r="I33" s="75">
        <f t="shared" si="1"/>
        <v>2.5025025025025016E-2</v>
      </c>
      <c r="J33" s="114"/>
      <c r="K33" s="8"/>
      <c r="L33" s="8"/>
      <c r="V33" s="84" t="str">
        <f>IF(C33&gt;EOMONTH(DATE('Input|General'!$G$12,MONTH('Input|General'!$G$9),1),0),"Ok",IF(I33="","Check","Ok"))</f>
        <v>Ok</v>
      </c>
    </row>
    <row r="34" spans="3:22" ht="10.5">
      <c r="C34" s="51">
        <v>41455</v>
      </c>
      <c r="D34" s="8"/>
      <c r="E34" s="8"/>
      <c r="F34" s="50">
        <v>102.8</v>
      </c>
      <c r="G34" s="124"/>
      <c r="H34" s="124">
        <f>IF(OR(ISBLANK(F34),F34=""),IF(COUNT(G34:G$78)=0,"",IF(OR(ISBLANK(G34),G34=""),AVERAGE(H33,H35),(1+G34)*H30)),F34)</f>
        <v>102.8</v>
      </c>
      <c r="I34" s="75">
        <f t="shared" si="1"/>
        <v>2.3904382470119501E-2</v>
      </c>
      <c r="J34" s="114"/>
      <c r="K34" s="8"/>
      <c r="L34" s="8"/>
      <c r="V34" s="84" t="str">
        <f>IF(C34&gt;EOMONTH(DATE('Input|General'!$G$12,MONTH('Input|General'!$G$9),1),0),"Ok",IF(I34="","Check","Ok"))</f>
        <v>Ok</v>
      </c>
    </row>
    <row r="35" spans="3:22" ht="10.5">
      <c r="C35" s="51">
        <v>41547</v>
      </c>
      <c r="D35" s="8"/>
      <c r="E35" s="8"/>
      <c r="F35" s="50">
        <v>104</v>
      </c>
      <c r="G35" s="124"/>
      <c r="H35" s="124">
        <f>IF(OR(ISBLANK(F35),F35=""),IF(COUNT(G35:G$78)=0,"",IF(OR(ISBLANK(G35),G35=""),AVERAGE(H34,H36),(1+G35)*H31)),F35)</f>
        <v>104</v>
      </c>
      <c r="I35" s="75">
        <f t="shared" si="1"/>
        <v>2.16110019646365E-2</v>
      </c>
      <c r="J35" s="114"/>
      <c r="K35" s="8"/>
      <c r="L35" s="8"/>
      <c r="V35" s="84" t="str">
        <f>IF(C35&gt;EOMONTH(DATE('Input|General'!$G$12,MONTH('Input|General'!$G$9),1),0),"Ok",IF(I35="","Check","Ok"))</f>
        <v>Ok</v>
      </c>
    </row>
    <row r="36" spans="3:22" ht="10.5">
      <c r="C36" s="51">
        <v>41639</v>
      </c>
      <c r="D36" s="8"/>
      <c r="E36" s="8"/>
      <c r="F36" s="50">
        <v>104.8</v>
      </c>
      <c r="G36" s="124"/>
      <c r="H36" s="124">
        <f>IF(OR(ISBLANK(F36),F36=""),IF(COUNT(G36:G$78)=0,"",IF(OR(ISBLANK(G36),G36=""),AVERAGE(H35,H37),(1+G36)*H32)),F36)</f>
        <v>104.8</v>
      </c>
      <c r="I36" s="75">
        <f t="shared" si="1"/>
        <v>2.7450980392156765E-2</v>
      </c>
      <c r="J36" s="114"/>
      <c r="K36" s="8"/>
      <c r="L36" s="8"/>
      <c r="V36" s="84" t="str">
        <f>IF(C36&gt;EOMONTH(DATE('Input|General'!$G$12,MONTH('Input|General'!$G$9),1),0),"Ok",IF(I36="","Check","Ok"))</f>
        <v>Ok</v>
      </c>
    </row>
    <row r="37" spans="3:22" ht="10.5">
      <c r="C37" s="51">
        <v>41729</v>
      </c>
      <c r="D37" s="8"/>
      <c r="E37" s="8"/>
      <c r="F37" s="50">
        <v>105.4</v>
      </c>
      <c r="G37" s="124"/>
      <c r="H37" s="124">
        <f>IF(OR(ISBLANK(F37),F37=""),IF(COUNT(G37:G$78)=0,"",IF(OR(ISBLANK(G37),G37=""),AVERAGE(H36,H38),(1+G37)*H33)),F37)</f>
        <v>105.4</v>
      </c>
      <c r="I37" s="75">
        <f t="shared" si="1"/>
        <v>2.9296875E-2</v>
      </c>
      <c r="J37" s="114"/>
      <c r="K37" s="8"/>
      <c r="L37" s="8"/>
      <c r="V37" s="84" t="str">
        <f>IF(C37&gt;EOMONTH(DATE('Input|General'!$G$12,MONTH('Input|General'!$G$9),1),0),"Ok",IF(I37="","Check","Ok"))</f>
        <v>Ok</v>
      </c>
    </row>
    <row r="38" spans="3:22" ht="10.5">
      <c r="C38" s="51">
        <v>41820</v>
      </c>
      <c r="D38" s="8"/>
      <c r="E38" s="8"/>
      <c r="F38" s="50">
        <v>105.9</v>
      </c>
      <c r="G38" s="124"/>
      <c r="H38" s="124">
        <f>IF(OR(ISBLANK(F38),F38=""),IF(COUNT(G38:G$78)=0,"",IF(OR(ISBLANK(G38),G38=""),AVERAGE(H37,H39),(1+G38)*H34)),F38)</f>
        <v>105.9</v>
      </c>
      <c r="I38" s="75">
        <f t="shared" si="1"/>
        <v>3.0155642023346418E-2</v>
      </c>
      <c r="J38" s="114"/>
      <c r="K38" s="8"/>
      <c r="L38" s="8"/>
      <c r="V38" s="84" t="str">
        <f>IF(C38&gt;EOMONTH(DATE('Input|General'!$G$12,MONTH('Input|General'!$G$9),1),0),"Ok",IF(I38="","Check","Ok"))</f>
        <v>Ok</v>
      </c>
    </row>
    <row r="39" spans="3:22" ht="10.5">
      <c r="C39" s="51">
        <v>41912</v>
      </c>
      <c r="D39" s="8"/>
      <c r="E39" s="8"/>
      <c r="F39" s="50">
        <v>106.4</v>
      </c>
      <c r="G39" s="124"/>
      <c r="H39" s="124">
        <f>IF(OR(ISBLANK(F39),F39=""),IF(COUNT(G39:G$78)=0,"",IF(OR(ISBLANK(G39),G39=""),AVERAGE(H38,H40),(1+G39)*H35)),F39)</f>
        <v>106.4</v>
      </c>
      <c r="I39" s="75">
        <f t="shared" si="1"/>
        <v>2.3076923076923217E-2</v>
      </c>
      <c r="J39" s="114"/>
      <c r="K39" s="8"/>
      <c r="L39" s="8"/>
      <c r="V39" s="84" t="str">
        <f>IF(C39&gt;EOMONTH(DATE('Input|General'!$G$12,MONTH('Input|General'!$G$9),1),0),"Ok",IF(I39="","Check","Ok"))</f>
        <v>Ok</v>
      </c>
    </row>
    <row r="40" spans="3:22" ht="10.5">
      <c r="C40" s="51">
        <v>42004</v>
      </c>
      <c r="D40" s="8"/>
      <c r="E40" s="8"/>
      <c r="F40" s="50">
        <v>106.6</v>
      </c>
      <c r="G40" s="124"/>
      <c r="H40" s="124">
        <f>IF(OR(ISBLANK(F40),F40=""),IF(COUNT(G40:G$78)=0,"",IF(OR(ISBLANK(G40),G40=""),AVERAGE(H39,H41),(1+G40)*H36)),F40)</f>
        <v>106.6</v>
      </c>
      <c r="I40" s="75">
        <f t="shared" si="1"/>
        <v>1.7175572519083859E-2</v>
      </c>
      <c r="J40" s="114"/>
      <c r="K40" s="8"/>
      <c r="L40" s="8"/>
      <c r="V40" s="84" t="str">
        <f>IF(C40&gt;EOMONTH(DATE('Input|General'!$G$12,MONTH('Input|General'!$G$9),1),0),"Ok",IF(I40="","Check","Ok"))</f>
        <v>Ok</v>
      </c>
    </row>
    <row r="41" spans="3:22" ht="10.5">
      <c r="C41" s="51">
        <v>42094</v>
      </c>
      <c r="D41" s="8"/>
      <c r="E41" s="8"/>
      <c r="F41" s="50">
        <v>106.8</v>
      </c>
      <c r="G41" s="124"/>
      <c r="H41" s="124">
        <f>IF(OR(ISBLANK(F41),F41=""),IF(COUNT(G41:G$78)=0,"",IF(OR(ISBLANK(G41),G41=""),AVERAGE(H40,H42),(1+G41)*H37)),F41)</f>
        <v>106.8</v>
      </c>
      <c r="I41" s="75">
        <f t="shared" si="1"/>
        <v>1.3282732447817747E-2</v>
      </c>
      <c r="J41" s="114"/>
      <c r="K41" s="8"/>
      <c r="L41" s="8"/>
      <c r="V41" s="84" t="str">
        <f>IF(C41&gt;EOMONTH(DATE('Input|General'!$G$12,MONTH('Input|General'!$G$9),1),0),"Ok",IF(I41="","Check","Ok"))</f>
        <v>Ok</v>
      </c>
    </row>
    <row r="42" spans="3:22" ht="10.5">
      <c r="C42" s="51">
        <v>42185</v>
      </c>
      <c r="D42" s="8"/>
      <c r="E42" s="8"/>
      <c r="F42" s="50">
        <v>107.5</v>
      </c>
      <c r="G42" s="124"/>
      <c r="H42" s="124">
        <f>IF(OR(ISBLANK(F42),F42=""),IF(COUNT(G42:G$78)=0,"",IF(OR(ISBLANK(G42),G42=""),AVERAGE(H41,H43),(1+G42)*H38)),F42)</f>
        <v>107.5</v>
      </c>
      <c r="I42" s="75">
        <f t="shared" si="1"/>
        <v>1.5108593012275628E-2</v>
      </c>
      <c r="J42" s="114"/>
      <c r="K42" s="8"/>
      <c r="L42" s="8"/>
      <c r="V42" s="84" t="str">
        <f>IF(C42&gt;EOMONTH(DATE('Input|General'!$G$12,MONTH('Input|General'!$G$9),1),0),"Ok",IF(I42="","Check","Ok"))</f>
        <v>Ok</v>
      </c>
    </row>
    <row r="43" spans="3:22" ht="10.5">
      <c r="C43" s="51">
        <v>42277</v>
      </c>
      <c r="D43" s="8"/>
      <c r="E43" s="8"/>
      <c r="F43" s="50">
        <v>108</v>
      </c>
      <c r="G43" s="124"/>
      <c r="H43" s="124">
        <f>IF(OR(ISBLANK(F43),F43=""),IF(COUNT(G43:G$78)=0,"",IF(OR(ISBLANK(G43),G43=""),AVERAGE(H42,H44),(1+G43)*H39)),F43)</f>
        <v>108</v>
      </c>
      <c r="I43" s="75">
        <f t="shared" si="1"/>
        <v>1.5037593984962294E-2</v>
      </c>
      <c r="J43" s="114"/>
      <c r="K43" s="8"/>
      <c r="L43" s="8"/>
      <c r="V43" s="84" t="str">
        <f>IF(C43&gt;EOMONTH(DATE('Input|General'!$G$12,MONTH('Input|General'!$G$9),1),0),"Ok",IF(I43="","Check","Ok"))</f>
        <v>Ok</v>
      </c>
    </row>
    <row r="44" spans="3:22" ht="10.5">
      <c r="C44" s="51">
        <v>42369</v>
      </c>
      <c r="D44" s="8"/>
      <c r="E44" s="8"/>
      <c r="F44" s="50">
        <v>108.4</v>
      </c>
      <c r="G44" s="124"/>
      <c r="H44" s="124">
        <f>IF(OR(ISBLANK(F44),F44=""),IF(COUNT(G44:G$78)=0,"",IF(OR(ISBLANK(G44),G44=""),AVERAGE(H43,H45),(1+G44)*H40)),F44)</f>
        <v>108.4</v>
      </c>
      <c r="I44" s="75">
        <f t="shared" si="1"/>
        <v>1.6885553470919357E-2</v>
      </c>
      <c r="J44" s="114"/>
      <c r="K44" s="8"/>
      <c r="L44" s="8"/>
      <c r="V44" s="84" t="str">
        <f>IF(C44&gt;EOMONTH(DATE('Input|General'!$G$12,MONTH('Input|General'!$G$9),1),0),"Ok",IF(I44="","Check","Ok"))</f>
        <v>Ok</v>
      </c>
    </row>
    <row r="45" spans="3:22" ht="10.5">
      <c r="C45" s="51">
        <v>42460</v>
      </c>
      <c r="D45" s="8"/>
      <c r="E45" s="8"/>
      <c r="F45" s="50">
        <v>108.2</v>
      </c>
      <c r="G45" s="124"/>
      <c r="H45" s="124">
        <f>IF(OR(ISBLANK(F45),F45=""),IF(COUNT(G45:G$78)=0,"",IF(OR(ISBLANK(G45),G45=""),AVERAGE(H44,H46),(1+G45)*H41)),F45)</f>
        <v>108.2</v>
      </c>
      <c r="I45" s="75">
        <f t="shared" si="1"/>
        <v>1.3108614232209881E-2</v>
      </c>
      <c r="J45" s="114"/>
      <c r="K45" s="8"/>
      <c r="L45" s="8"/>
      <c r="V45" s="84" t="str">
        <f>IF(C45&gt;EOMONTH(DATE('Input|General'!$G$12,MONTH('Input|General'!$G$9),1),0),"Ok",IF(I45="","Check","Ok"))</f>
        <v>Ok</v>
      </c>
    </row>
    <row r="46" spans="3:22" ht="10.5">
      <c r="C46" s="51">
        <v>42551</v>
      </c>
      <c r="D46" s="8"/>
      <c r="E46" s="8"/>
      <c r="F46" s="50">
        <v>108.6</v>
      </c>
      <c r="G46" s="124"/>
      <c r="H46" s="124">
        <f>IF(OR(ISBLANK(F46),F46=""),IF(COUNT(G46:G$78)=0,"",IF(OR(ISBLANK(G46),G46=""),AVERAGE(H45,H47),(1+G46)*H42)),F46)</f>
        <v>108.6</v>
      </c>
      <c r="I46" s="75">
        <f t="shared" si="1"/>
        <v>1.0232558139534831E-2</v>
      </c>
      <c r="J46" s="114"/>
      <c r="K46" s="8"/>
      <c r="L46" s="8"/>
      <c r="V46" s="84" t="str">
        <f>IF(C46&gt;EOMONTH(DATE('Input|General'!$G$12,MONTH('Input|General'!$G$9),1),0),"Ok",IF(I46="","Check","Ok"))</f>
        <v>Ok</v>
      </c>
    </row>
    <row r="47" spans="3:22" ht="10.5">
      <c r="C47" s="51">
        <v>42643</v>
      </c>
      <c r="D47" s="8"/>
      <c r="E47" s="8"/>
      <c r="F47" s="50">
        <v>109.4</v>
      </c>
      <c r="G47" s="124"/>
      <c r="H47" s="124">
        <f>IF(OR(ISBLANK(F47),F47=""),IF(COUNT(G47:G$78)=0,"",IF(OR(ISBLANK(G47),G47=""),AVERAGE(H46,H48),(1+G47)*H43)),F47)</f>
        <v>109.4</v>
      </c>
      <c r="I47" s="75">
        <f t="shared" si="1"/>
        <v>1.2962962962963065E-2</v>
      </c>
      <c r="J47" s="114"/>
      <c r="K47" s="8"/>
      <c r="L47" s="8"/>
      <c r="V47" s="84" t="str">
        <f>IF(C47&gt;EOMONTH(DATE('Input|General'!$G$12,MONTH('Input|General'!$G$9),1),0),"Ok",IF(I47="","Check","Ok"))</f>
        <v>Ok</v>
      </c>
    </row>
    <row r="48" spans="3:22" ht="10.5">
      <c r="C48" s="51">
        <v>42735</v>
      </c>
      <c r="D48" s="8"/>
      <c r="E48" s="8"/>
      <c r="F48" s="50">
        <v>110</v>
      </c>
      <c r="G48" s="124"/>
      <c r="H48" s="124">
        <f>IF(OR(ISBLANK(F48),F48=""),IF(COUNT(G48:G$78)=0,"",IF(OR(ISBLANK(G48),G48=""),AVERAGE(H47,H49),(1+G48)*H44)),F48)</f>
        <v>110</v>
      </c>
      <c r="I48" s="75">
        <f t="shared" si="1"/>
        <v>1.4760147601476037E-2</v>
      </c>
      <c r="J48" s="114"/>
      <c r="K48" s="8"/>
      <c r="L48" s="8"/>
      <c r="V48" s="84" t="str">
        <f>IF(C48&gt;EOMONTH(DATE('Input|General'!$G$12,MONTH('Input|General'!$G$9),1),0),"Ok",IF(I48="","Check","Ok"))</f>
        <v>Ok</v>
      </c>
    </row>
    <row r="49" spans="3:22" ht="10.5">
      <c r="C49" s="51">
        <v>42825</v>
      </c>
      <c r="D49" s="8"/>
      <c r="E49" s="8"/>
      <c r="F49" s="50">
        <v>110.5</v>
      </c>
      <c r="G49" s="124"/>
      <c r="H49" s="124">
        <f>IF(OR(ISBLANK(F49),F49=""),IF(COUNT(G49:G$78)=0,"",IF(OR(ISBLANK(G49),G49=""),AVERAGE(H48,H50),(1+G49)*H45)),F49)</f>
        <v>110.5</v>
      </c>
      <c r="I49" s="75">
        <f t="shared" si="1"/>
        <v>2.1256931608133023E-2</v>
      </c>
      <c r="J49" s="114"/>
      <c r="K49" s="8"/>
      <c r="L49" s="8"/>
      <c r="V49" s="84" t="str">
        <f>IF(C49&gt;EOMONTH(DATE('Input|General'!$G$12,MONTH('Input|General'!$G$9),1),0),"Ok",IF(I49="","Check","Ok"))</f>
        <v>Ok</v>
      </c>
    </row>
    <row r="50" spans="3:22" ht="10.5">
      <c r="C50" s="51">
        <v>42916</v>
      </c>
      <c r="D50" s="8"/>
      <c r="E50" s="8"/>
      <c r="F50" s="50">
        <v>110.7</v>
      </c>
      <c r="G50" s="124"/>
      <c r="H50" s="124">
        <f>IF(OR(ISBLANK(F50),F50=""),IF(COUNT(G50:G$78)=0,"",IF(OR(ISBLANK(G50),G50=""),AVERAGE(H49,H51),(1+G50)*H46)),F50)</f>
        <v>110.7</v>
      </c>
      <c r="I50" s="75">
        <f t="shared" si="1"/>
        <v>1.9337016574585641E-2</v>
      </c>
      <c r="J50" s="115"/>
      <c r="K50" s="8"/>
      <c r="L50" s="8"/>
      <c r="V50" s="84" t="str">
        <f>IF(C50&gt;EOMONTH(DATE('Input|General'!$G$12,MONTH('Input|General'!$G$9),1),0),"Ok",IF(I50="","Check","Ok"))</f>
        <v>Ok</v>
      </c>
    </row>
    <row r="51" spans="3:22" ht="10.5">
      <c r="C51" s="51">
        <v>43008</v>
      </c>
      <c r="D51" s="8"/>
      <c r="E51" s="8"/>
      <c r="F51" s="50">
        <v>111.4</v>
      </c>
      <c r="G51" s="124"/>
      <c r="H51" s="124">
        <f>IF(OR(ISBLANK(F51),F51=""),IF(COUNT(G51:G$78)=0,"",IF(OR(ISBLANK(G51),G51=""),AVERAGE(H50,H52),(1+G51)*H47)),F51)</f>
        <v>111.4</v>
      </c>
      <c r="I51" s="75">
        <f t="shared" si="1"/>
        <v>1.8281535648994485E-2</v>
      </c>
      <c r="J51" s="114"/>
      <c r="K51" s="8"/>
      <c r="L51" s="8"/>
      <c r="V51" s="84" t="str">
        <f>IF(C51&gt;EOMONTH(DATE('Input|General'!$G$12,MONTH('Input|General'!$G$9),1),0),"Ok",IF(I51="","Check","Ok"))</f>
        <v>Ok</v>
      </c>
    </row>
    <row r="52" spans="3:22" ht="10.5">
      <c r="C52" s="51">
        <v>43100</v>
      </c>
      <c r="D52" s="8"/>
      <c r="E52" s="8"/>
      <c r="F52" s="50">
        <v>112.1</v>
      </c>
      <c r="G52" s="124"/>
      <c r="H52" s="124">
        <f>IF(OR(ISBLANK(F52),F52=""),IF(COUNT(G52:G$78)=0,"",IF(OR(ISBLANK(G52),G52=""),AVERAGE(H51,H53),(1+G52)*H48)),F52)</f>
        <v>112.1</v>
      </c>
      <c r="I52" s="75">
        <f t="shared" si="1"/>
        <v>1.9090909090909047E-2</v>
      </c>
      <c r="J52" s="114"/>
      <c r="K52" s="8"/>
      <c r="L52" s="8"/>
      <c r="V52" s="84" t="str">
        <f>IF(C52&gt;EOMONTH(DATE('Input|General'!$G$12,MONTH('Input|General'!$G$9),1),0),"Ok",IF(I52="","Check","Ok"))</f>
        <v>Ok</v>
      </c>
    </row>
    <row r="53" spans="3:22" ht="10.5">
      <c r="C53" s="51">
        <v>43190</v>
      </c>
      <c r="D53" s="8"/>
      <c r="E53" s="8"/>
      <c r="F53" s="50">
        <v>112.6</v>
      </c>
      <c r="G53" s="124"/>
      <c r="H53" s="124">
        <f>IF(OR(ISBLANK(F53),F53=""),IF(COUNT(G53:G$78)=0,"",IF(OR(ISBLANK(G53),G53=""),AVERAGE(H52,H54),(1+G53)*H49)),F53)</f>
        <v>112.6</v>
      </c>
      <c r="I53" s="75">
        <f t="shared" si="1"/>
        <v>1.9004524886877761E-2</v>
      </c>
      <c r="J53" s="114"/>
      <c r="K53" s="8"/>
      <c r="L53" s="8"/>
      <c r="V53" s="84" t="str">
        <f>IF(C53&gt;EOMONTH(DATE('Input|General'!$G$12,MONTH('Input|General'!$G$9),1),0),"Ok",IF(I53="","Check","Ok"))</f>
        <v>Ok</v>
      </c>
    </row>
    <row r="54" spans="3:22" ht="10.5">
      <c r="C54" s="51">
        <v>43281</v>
      </c>
      <c r="D54" s="8"/>
      <c r="E54" s="8"/>
      <c r="F54" s="50">
        <v>113</v>
      </c>
      <c r="G54" s="124"/>
      <c r="H54" s="124">
        <f>IF(OR(ISBLANK(F54),F54=""),IF(COUNT(G54:G$78)=0,"",IF(OR(ISBLANK(G54),G54=""),AVERAGE(H53,H55),(1+G54)*H50)),F54)</f>
        <v>113</v>
      </c>
      <c r="I54" s="75">
        <f t="shared" si="1"/>
        <v>2.0776874435411097E-2</v>
      </c>
      <c r="J54" s="114"/>
      <c r="K54" s="8"/>
      <c r="L54" s="8"/>
      <c r="V54" s="84" t="str">
        <f>IF(C54&gt;EOMONTH(DATE('Input|General'!$G$12,MONTH('Input|General'!$G$9),1),0),"Ok",IF(I54="","Check","Ok"))</f>
        <v>Ok</v>
      </c>
    </row>
    <row r="55" spans="3:22" ht="10.5">
      <c r="C55" s="51">
        <v>43373</v>
      </c>
      <c r="D55" s="8"/>
      <c r="E55" s="8"/>
      <c r="F55" s="50">
        <v>113.5</v>
      </c>
      <c r="G55" s="124"/>
      <c r="H55" s="124">
        <f>IF(OR(ISBLANK(F55),F55=""),IF(COUNT(G55:G$78)=0,"",IF(OR(ISBLANK(G55),G55=""),AVERAGE(H54,H56),(1+G55)*H51)),F55)</f>
        <v>113.5</v>
      </c>
      <c r="I55" s="75">
        <f t="shared" si="1"/>
        <v>1.8850987432674993E-2</v>
      </c>
      <c r="J55" s="114"/>
      <c r="K55" s="8"/>
      <c r="L55" s="8"/>
      <c r="V55" s="84" t="str">
        <f>IF(C55&gt;EOMONTH(DATE('Input|General'!$G$12,MONTH('Input|General'!$G$9),1),0),"Ok",IF(I55="","Check","Ok"))</f>
        <v>Ok</v>
      </c>
    </row>
    <row r="56" spans="3:22" ht="10.5">
      <c r="C56" s="51">
        <v>43465</v>
      </c>
      <c r="D56" s="8"/>
      <c r="E56" s="8"/>
      <c r="F56" s="50">
        <v>114.1</v>
      </c>
      <c r="G56" s="124"/>
      <c r="H56" s="124">
        <f>IF(OR(ISBLANK(F56),F56=""),IF(COUNT(G56:G$78)=0,"",IF(OR(ISBLANK(G56),G56=""),AVERAGE(H55,H57),(1+G56)*H52)),F56)</f>
        <v>114.1</v>
      </c>
      <c r="I56" s="75">
        <f t="shared" si="1"/>
        <v>1.7841213202497874E-2</v>
      </c>
      <c r="J56" s="114"/>
      <c r="K56" s="8"/>
      <c r="L56" s="8"/>
      <c r="V56" s="84" t="str">
        <f>IF(C56&gt;EOMONTH(DATE('Input|General'!$G$12,MONTH('Input|General'!$G$9),1),0),"Ok",IF(I56="","Check","Ok"))</f>
        <v>Ok</v>
      </c>
    </row>
    <row r="57" spans="3:22" ht="10.5">
      <c r="C57" s="51">
        <v>43555</v>
      </c>
      <c r="D57" s="8"/>
      <c r="E57" s="8"/>
      <c r="F57" s="50">
        <v>114.1</v>
      </c>
      <c r="G57" s="124"/>
      <c r="H57" s="124">
        <f>IF(OR(ISBLANK(F57),F57=""),IF(COUNT(G57:G$78)=0,"",IF(OR(ISBLANK(G57),G57=""),AVERAGE(H56,H58),(1+G57)*H53)),F57)</f>
        <v>114.1</v>
      </c>
      <c r="I57" s="75">
        <f t="shared" si="1"/>
        <v>1.3321492007104752E-2</v>
      </c>
      <c r="J57" s="114"/>
      <c r="K57" s="8"/>
      <c r="L57" s="8"/>
      <c r="V57" s="84" t="str">
        <f>IF(C57&gt;EOMONTH(DATE('Input|General'!$G$12,MONTH('Input|General'!$G$9),1),0),"Ok",IF(I57="","Check","Ok"))</f>
        <v>Ok</v>
      </c>
    </row>
    <row r="58" spans="3:22" ht="10.5">
      <c r="C58" s="51">
        <v>43646</v>
      </c>
      <c r="D58" s="8"/>
      <c r="E58" s="8"/>
      <c r="F58" s="50">
        <v>114.8</v>
      </c>
      <c r="G58" s="124"/>
      <c r="H58" s="124">
        <f>IF(OR(ISBLANK(F58),F58=""),IF(COUNT(G58:G$78)=0,"",IF(OR(ISBLANK(G58),G58=""),AVERAGE(H57,H59),(1+G58)*H54)),F58)</f>
        <v>114.8</v>
      </c>
      <c r="I58" s="75">
        <f t="shared" si="1"/>
        <v>1.5929203539823078E-2</v>
      </c>
      <c r="J58" s="114"/>
      <c r="K58" s="8"/>
      <c r="L58" s="8"/>
      <c r="V58" s="84" t="str">
        <f>IF(C58&gt;EOMONTH(DATE('Input|General'!$G$12,MONTH('Input|General'!$G$9),1),0),"Ok",IF(I58="","Check","Ok"))</f>
        <v>Ok</v>
      </c>
    </row>
    <row r="59" spans="3:22" ht="10.5">
      <c r="C59" s="51">
        <v>43738</v>
      </c>
      <c r="D59" s="8"/>
      <c r="E59" s="8"/>
      <c r="F59" s="50">
        <v>115.4</v>
      </c>
      <c r="G59" s="124"/>
      <c r="H59" s="124">
        <f>IF(OR(ISBLANK(F59),F59=""),IF(COUNT(G59:G$78)=0,"",IF(OR(ISBLANK(G59),G59=""),AVERAGE(H58,H60),(1+G59)*H55)),F59)</f>
        <v>115.4</v>
      </c>
      <c r="I59" s="75">
        <f t="shared" si="1"/>
        <v>1.6740088105726914E-2</v>
      </c>
      <c r="J59" s="114"/>
      <c r="K59" s="8"/>
      <c r="L59" s="8"/>
      <c r="V59" s="84" t="str">
        <f>IF(C59&gt;EOMONTH(DATE('Input|General'!$G$12,MONTH('Input|General'!$G$9),1),0),"Ok",IF(I59="","Check","Ok"))</f>
        <v>Ok</v>
      </c>
    </row>
    <row r="60" spans="3:22" ht="10.5">
      <c r="C60" s="51">
        <v>43830</v>
      </c>
      <c r="D60" s="8"/>
      <c r="E60" s="8"/>
      <c r="F60" s="50">
        <v>116.2</v>
      </c>
      <c r="G60" s="124"/>
      <c r="H60" s="124">
        <f>IF(OR(ISBLANK(F60),F60=""),IF(COUNT(G60:G$78)=0,"",IF(OR(ISBLANK(G60),G60=""),AVERAGE(H59,H61),(1+G60)*H56)),F60)</f>
        <v>116.2</v>
      </c>
      <c r="I60" s="75">
        <f t="shared" si="1"/>
        <v>1.8404907975460238E-2</v>
      </c>
      <c r="J60" s="114"/>
      <c r="K60" s="8"/>
      <c r="L60" s="8"/>
      <c r="V60" s="84" t="str">
        <f>IF(C60&gt;EOMONTH(DATE('Input|General'!$G$12,MONTH('Input|General'!$G$9),1),0),"Ok",IF(I60="","Check","Ok"))</f>
        <v>Ok</v>
      </c>
    </row>
    <row r="61" spans="3:22" ht="10.5">
      <c r="C61" s="51">
        <v>43921</v>
      </c>
      <c r="D61" s="8"/>
      <c r="E61" s="8"/>
      <c r="F61" s="50">
        <v>116.6</v>
      </c>
      <c r="G61" s="124"/>
      <c r="H61" s="124">
        <f>IF(OR(ISBLANK(F61),F61=""),IF(COUNT(G61:G$78)=0,"",IF(OR(ISBLANK(G61),G61=""),AVERAGE(H60,H62),(1+G61)*H57)),F61)</f>
        <v>116.6</v>
      </c>
      <c r="I61" s="75">
        <f t="shared" si="1"/>
        <v>2.1910604732690686E-2</v>
      </c>
      <c r="J61" s="114"/>
      <c r="K61" s="8"/>
      <c r="L61" s="8"/>
      <c r="V61" s="84" t="str">
        <f>IF(C61&gt;EOMONTH(DATE('Input|General'!$G$12,MONTH('Input|General'!$G$9),1),0),"Ok",IF(I61="","Check","Ok"))</f>
        <v>Ok</v>
      </c>
    </row>
    <row r="62" spans="3:22" ht="10.5">
      <c r="C62" s="51">
        <v>44012</v>
      </c>
      <c r="D62" s="8"/>
      <c r="E62" s="8"/>
      <c r="F62" s="50">
        <v>114.4</v>
      </c>
      <c r="G62" s="124"/>
      <c r="H62" s="124">
        <f>IF(OR(ISBLANK(F62),F62=""),IF(COUNT(G62:G$78)=0,"",IF(OR(ISBLANK(G62),G62=""),AVERAGE(H61,H63),(1+G62)*H58)),F62)</f>
        <v>114.4</v>
      </c>
      <c r="I62" s="75">
        <f t="shared" si="1"/>
        <v>-3.4843205574912606E-3</v>
      </c>
      <c r="J62" s="114"/>
      <c r="K62" s="8"/>
      <c r="L62" s="8"/>
      <c r="V62" s="84" t="str">
        <f>IF(C62&gt;EOMONTH(DATE('Input|General'!$G$12,MONTH('Input|General'!$G$9),1),0),"Ok",IF(I62="","Check","Ok"))</f>
        <v>Ok</v>
      </c>
    </row>
    <row r="63" spans="3:22" ht="10.5">
      <c r="C63" s="51">
        <v>44104</v>
      </c>
      <c r="D63" s="8"/>
      <c r="E63" s="8"/>
      <c r="F63" s="50">
        <v>116.2</v>
      </c>
      <c r="G63" s="124"/>
      <c r="H63" s="124">
        <f>IF(OR(ISBLANK(F63),F63=""),IF(COUNT(G63:G$78)=0,"",IF(OR(ISBLANK(G63),G63=""),AVERAGE(H62,H64),(1+G63)*H59)),F63)</f>
        <v>116.2</v>
      </c>
      <c r="I63" s="75">
        <f t="shared" si="1"/>
        <v>6.9324090121316573E-3</v>
      </c>
      <c r="J63" s="114"/>
      <c r="K63" s="8"/>
      <c r="L63" s="8"/>
      <c r="V63" s="84" t="str">
        <f>IF(C63&gt;EOMONTH(DATE('Input|General'!$G$12,MONTH('Input|General'!$G$9),1),0),"Ok",IF(I63="","Check","Ok"))</f>
        <v>Ok</v>
      </c>
    </row>
    <row r="64" spans="3:22" ht="10.5">
      <c r="C64" s="51">
        <v>44196</v>
      </c>
      <c r="D64" s="8"/>
      <c r="E64" s="8"/>
      <c r="F64" s="50">
        <v>117.2</v>
      </c>
      <c r="G64" s="124"/>
      <c r="H64" s="124">
        <f>IF(OR(ISBLANK(F64),F64=""),IF(COUNT(G64:G$78)=0,"",IF(OR(ISBLANK(G64),G64=""),AVERAGE(H63,H65),(1+G64)*H60)),F64)</f>
        <v>117.2</v>
      </c>
      <c r="I64" s="75">
        <f t="shared" si="1"/>
        <v>8.6058519793459354E-3</v>
      </c>
      <c r="J64" s="114"/>
      <c r="K64" s="8"/>
      <c r="L64" s="8"/>
      <c r="V64" s="84" t="str">
        <f>IF(C64&gt;EOMONTH(DATE('Input|General'!$G$12,MONTH('Input|General'!$G$9),1),0),"Ok",IF(I64="","Check","Ok"))</f>
        <v>Ok</v>
      </c>
    </row>
    <row r="65" spans="1:33" ht="10.5">
      <c r="C65" s="51">
        <v>44286</v>
      </c>
      <c r="D65" s="8"/>
      <c r="E65" s="8"/>
      <c r="F65" s="50">
        <v>117.9</v>
      </c>
      <c r="G65" s="124"/>
      <c r="H65" s="124">
        <f>IF(OR(ISBLANK(F65),F65=""),IF(COUNT(G65:G$78)=0,"",IF(OR(ISBLANK(G65),G65=""),AVERAGE(H64,H66),(1+G65)*H61)),F65)</f>
        <v>117.9</v>
      </c>
      <c r="I65" s="75">
        <f t="shared" si="1"/>
        <v>1.1149228130360234E-2</v>
      </c>
      <c r="J65" s="114"/>
      <c r="K65" s="8"/>
      <c r="L65" s="8"/>
      <c r="V65" s="84" t="str">
        <f>IF(C65&gt;EOMONTH(DATE('Input|General'!$G$12,MONTH('Input|General'!$G$9),1),0),"Ok",IF(I65="","Check","Ok"))</f>
        <v>Ok</v>
      </c>
    </row>
    <row r="66" spans="1:33" ht="10.5">
      <c r="C66" s="51">
        <v>44377</v>
      </c>
      <c r="D66" s="8"/>
      <c r="E66" s="8"/>
      <c r="F66" s="50">
        <v>118.8</v>
      </c>
      <c r="G66" s="124"/>
      <c r="H66" s="124">
        <f>IF(OR(ISBLANK(F66),F66=""),IF(COUNT(G66:G$78)=0,"",IF(OR(ISBLANK(G66),G66=""),AVERAGE(H65,H67),(1+G66)*H62)),F66)</f>
        <v>118.8</v>
      </c>
      <c r="I66" s="75">
        <f t="shared" si="1"/>
        <v>3.8461538461538325E-2</v>
      </c>
      <c r="J66" s="114"/>
      <c r="K66" s="8"/>
      <c r="L66" s="8"/>
      <c r="V66" s="84" t="str">
        <f>IF(C66&gt;EOMONTH(DATE('Input|General'!$G$12,MONTH('Input|General'!$G$9),1),0),"Ok",IF(I66="","Check","Ok"))</f>
        <v>Ok</v>
      </c>
    </row>
    <row r="67" spans="1:33" ht="10.5">
      <c r="C67" s="51">
        <v>44469</v>
      </c>
      <c r="D67" s="8"/>
      <c r="E67" s="8"/>
      <c r="F67" s="50">
        <v>119.7</v>
      </c>
      <c r="G67" s="124"/>
      <c r="H67" s="124">
        <f>IF(OR(ISBLANK(F67),F67=""),IF(COUNT(G67:G$78)=0,"",IF(OR(ISBLANK(G67),G67=""),AVERAGE(H66,H68),(1+G67)*H63)),F67)</f>
        <v>119.7</v>
      </c>
      <c r="I67" s="75">
        <f t="shared" si="1"/>
        <v>3.0120481927710774E-2</v>
      </c>
      <c r="J67" s="114"/>
      <c r="K67" s="8"/>
      <c r="L67" s="8"/>
      <c r="V67" s="84" t="str">
        <f>IF(C67&gt;EOMONTH(DATE('Input|General'!$G$12,MONTH('Input|General'!$G$9),1),0),"Ok",IF(I67="","Check","Ok"))</f>
        <v>Ok</v>
      </c>
    </row>
    <row r="68" spans="1:33" ht="10.5">
      <c r="C68" s="51">
        <v>44561</v>
      </c>
      <c r="D68" s="8"/>
      <c r="E68" s="8"/>
      <c r="F68" s="50">
        <v>121.3</v>
      </c>
      <c r="G68" s="124"/>
      <c r="H68" s="124">
        <f>IF(OR(ISBLANK(F68),F68=""),IF(COUNT(G68:G$78)=0,"",IF(OR(ISBLANK(G68),G68=""),AVERAGE(H67,H69),(1+G68)*H64)),F68)</f>
        <v>121.3</v>
      </c>
      <c r="I68" s="75">
        <f t="shared" si="1"/>
        <v>3.4982935153583528E-2</v>
      </c>
      <c r="J68" s="114"/>
      <c r="K68" s="8"/>
      <c r="L68" s="8"/>
      <c r="V68" s="84" t="str">
        <f>IF(C68&gt;EOMONTH(DATE('Input|General'!$G$12,MONTH('Input|General'!$G$9),1),0),"Ok",IF(I68="","Check","Ok"))</f>
        <v>Ok</v>
      </c>
    </row>
    <row r="69" spans="1:33" ht="10.5">
      <c r="C69" s="51">
        <v>44651</v>
      </c>
      <c r="D69" s="8"/>
      <c r="E69" s="8"/>
      <c r="F69" s="50">
        <v>123.9</v>
      </c>
      <c r="G69" s="124"/>
      <c r="H69" s="124">
        <f>IF(OR(ISBLANK(F69),F69=""),IF(COUNT(G69:G$78)=0,"",IF(OR(ISBLANK(G69),G69=""),AVERAGE(H68,H70),(1+G69)*H65)),F69)</f>
        <v>123.9</v>
      </c>
      <c r="I69" s="75">
        <f t="shared" si="1"/>
        <v>5.0890585241730291E-2</v>
      </c>
      <c r="J69" s="114"/>
      <c r="K69" s="8"/>
      <c r="L69" s="8"/>
      <c r="V69" s="84" t="str">
        <f>IF(C69&gt;EOMONTH(DATE('Input|General'!$G$12,MONTH('Input|General'!$G$9),1),0),"Ok",IF(I69="","Check","Ok"))</f>
        <v>Ok</v>
      </c>
    </row>
    <row r="70" spans="1:33" ht="10.5">
      <c r="C70" s="51">
        <v>44742</v>
      </c>
      <c r="D70" s="8"/>
      <c r="E70" s="8"/>
      <c r="F70" s="50">
        <v>126.1</v>
      </c>
      <c r="G70" s="124"/>
      <c r="H70" s="124">
        <f>IF(OR(ISBLANK(F70),F70=""),IF(COUNT(G70:G$78)=0,"",IF(OR(ISBLANK(G70),G70=""),AVERAGE(H69,H71),(1+G70)*H66)),F70)</f>
        <v>126.1</v>
      </c>
      <c r="I70" s="75">
        <f t="shared" si="1"/>
        <v>6.1447811447811418E-2</v>
      </c>
      <c r="J70" s="123"/>
      <c r="K70" s="8"/>
      <c r="L70" s="8"/>
      <c r="V70" s="84" t="str">
        <f>IF(C70&gt;EOMONTH(DATE('Input|General'!$G$12,MONTH('Input|General'!$G$9),1),0),"Ok",IF(I70="","Check","Ok"))</f>
        <v>Ok</v>
      </c>
    </row>
    <row r="71" spans="1:33" ht="10.5">
      <c r="C71" s="51">
        <v>44834</v>
      </c>
      <c r="D71" s="8"/>
      <c r="E71" s="8"/>
      <c r="F71" s="50">
        <v>128.4</v>
      </c>
      <c r="G71" s="124"/>
      <c r="H71" s="124">
        <f>IF(OR(ISBLANK(F71),F71=""),IF(COUNT(G71:G$78)=0,"",IF(OR(ISBLANK(G71),G71=""),AVERAGE(H70,H72),(1+G71)*H67)),F71)</f>
        <v>128.4</v>
      </c>
      <c r="I71" s="75">
        <f t="shared" si="1"/>
        <v>7.268170426065157E-2</v>
      </c>
      <c r="J71" s="122"/>
      <c r="K71" s="8"/>
      <c r="L71" s="8"/>
      <c r="V71" s="84" t="str">
        <f>IF(C71&gt;EOMONTH(DATE('Input|General'!$G$12,MONTH('Input|General'!$G$9),1),0),"Ok",IF(I71="","Check","Ok"))</f>
        <v>Ok</v>
      </c>
    </row>
    <row r="72" spans="1:33" ht="10.5">
      <c r="C72" s="51">
        <v>44926</v>
      </c>
      <c r="D72" s="8"/>
      <c r="E72" s="8"/>
      <c r="F72" s="50">
        <v>130.80000000000001</v>
      </c>
      <c r="G72" s="116"/>
      <c r="H72" s="124">
        <f>IF(OR(ISBLANK(F72),F72=""),IF(COUNT(G72:G$78)=0,"",IF(OR(ISBLANK(G72),G72=""),AVERAGE(H71,H73),(1+G72)*H68)),F72)</f>
        <v>130.80000000000001</v>
      </c>
      <c r="I72" s="75">
        <f t="shared" si="1"/>
        <v>7.8318219291014124E-2</v>
      </c>
      <c r="J72" s="123"/>
      <c r="K72" s="8"/>
      <c r="L72" s="8"/>
      <c r="V72" s="84" t="str">
        <f>IF(C72&gt;EOMONTH(DATE('Input|General'!$G$12,MONTH('Input|General'!$G$9),1),0),"Ok",IF(I72="","Check","Ok"))</f>
        <v>Ok</v>
      </c>
    </row>
    <row r="73" spans="1:33" ht="10.5">
      <c r="C73" s="51">
        <v>45016</v>
      </c>
      <c r="D73" s="8"/>
      <c r="E73" s="8"/>
      <c r="F73" s="50">
        <v>132.6</v>
      </c>
      <c r="G73" s="116"/>
      <c r="H73" s="124">
        <f>IF(OR(ISBLANK(F73),F73=""),IF(COUNT(G73:G$78)=0,"",IF(OR(ISBLANK(G73),G73=""),AVERAGE(H72,H74),(1+G73)*H69)),F73)</f>
        <v>132.6</v>
      </c>
      <c r="I73" s="75">
        <f t="shared" si="1"/>
        <v>7.0217917675544639E-2</v>
      </c>
      <c r="J73" s="114"/>
      <c r="K73" s="8"/>
      <c r="L73" s="8"/>
      <c r="V73" s="84" t="str">
        <f>IF(C73&gt;EOMONTH(DATE('Input|General'!$G$12,MONTH('Input|General'!$G$9),1),0),"Ok",IF(I73="","Check","Ok"))</f>
        <v>Ok</v>
      </c>
    </row>
    <row r="74" spans="1:33" ht="10.5">
      <c r="C74" s="51">
        <v>45107</v>
      </c>
      <c r="D74" s="8"/>
      <c r="E74" s="8"/>
      <c r="F74" s="50">
        <v>133.69999999999999</v>
      </c>
      <c r="G74" s="116"/>
      <c r="H74" s="124">
        <f>IF(OR(ISBLANK(F74),F74=""),IF(COUNT(G74:G$78)=0,"",IF(OR(ISBLANK(G74),G74=""),AVERAGE(H73,H75),(1+G74)*H70)),F74)</f>
        <v>133.69999999999999</v>
      </c>
      <c r="I74" s="75">
        <f t="shared" si="1"/>
        <v>6.0269627279936566E-2</v>
      </c>
      <c r="J74" s="192"/>
      <c r="K74" s="8"/>
      <c r="L74" s="8"/>
      <c r="V74" s="84" t="str">
        <f>IF(C74&gt;EOMONTH(DATE('Input|General'!$G$12,MONTH('Input|General'!$G$9),1),0),"Ok",IF(I74="","Check","Ok"))</f>
        <v>Ok</v>
      </c>
    </row>
    <row r="75" spans="1:33" ht="10.5">
      <c r="C75" s="51">
        <v>45199</v>
      </c>
      <c r="D75" s="8"/>
      <c r="E75" s="8"/>
      <c r="F75" s="50">
        <v>135.30000000000001</v>
      </c>
      <c r="G75" s="116"/>
      <c r="H75" s="124">
        <f>IF(OR(ISBLANK(F75),F75=""),IF(COUNT(G75:G$78)=0,"",IF(OR(ISBLANK(G75),G75=""),AVERAGE(H74,H76),(1+G75)*H71)),F75)</f>
        <v>135.30000000000001</v>
      </c>
      <c r="I75" s="75">
        <f t="shared" ref="I75:I78" si="2">IF(H75="","",H75/H71-1)</f>
        <v>5.3738317757009435E-2</v>
      </c>
      <c r="J75" s="114"/>
      <c r="K75" s="8"/>
      <c r="L75" s="8"/>
      <c r="V75" s="84" t="str">
        <f>IF(C75&gt;EOMONTH(DATE('Input|General'!$G$12,MONTH('Input|General'!$G$9),1),0),"Ok",IF(I75="","Check","Ok"))</f>
        <v>Ok</v>
      </c>
    </row>
    <row r="76" spans="1:33" ht="10.5">
      <c r="C76" s="51">
        <v>45291</v>
      </c>
      <c r="D76" s="8"/>
      <c r="E76" s="8"/>
      <c r="F76" s="50">
        <v>136.1</v>
      </c>
      <c r="G76" s="116"/>
      <c r="H76" s="124">
        <f>IF(OR(ISBLANK(F76),F76=""),IF(COUNT(G76:G$78)=0,"",IF(OR(ISBLANK(G76),G76=""),AVERAGE(H75,H77),(1+G76)*H72)),F76)</f>
        <v>136.1</v>
      </c>
      <c r="I76" s="75">
        <f t="shared" si="2"/>
        <v>4.0519877675840865E-2</v>
      </c>
      <c r="J76" s="192"/>
      <c r="K76" s="8"/>
      <c r="L76" s="8"/>
      <c r="V76" s="84" t="str">
        <f>IF(C76&gt;EOMONTH(DATE('Input|General'!$G$12,MONTH('Input|General'!$G$9),1),0),"Ok",IF(I76="","Check","Ok"))</f>
        <v>Ok</v>
      </c>
      <c r="W76" s="196"/>
    </row>
    <row r="77" spans="1:33" ht="10.5">
      <c r="C77" s="51">
        <v>45382</v>
      </c>
      <c r="D77" s="8"/>
      <c r="E77" s="8"/>
      <c r="F77" s="50">
        <v>137.4</v>
      </c>
      <c r="G77" s="116"/>
      <c r="H77" s="124">
        <f>IF(OR(ISBLANK(F77),F77=""),IF(COUNT(G77:G$78)=0,"",IF(OR(ISBLANK(G77),G77=""),AVERAGE(H76,H78),(1+G77)*H73)),F77)</f>
        <v>137.4</v>
      </c>
      <c r="I77" s="75">
        <f t="shared" si="2"/>
        <v>3.6199095022624528E-2</v>
      </c>
      <c r="J77" s="114"/>
      <c r="K77" s="8"/>
      <c r="L77" s="8"/>
      <c r="V77" s="84" t="str">
        <f>IF(C77&gt;EOMONTH(DATE('Input|General'!$G$12,MONTH('Input|General'!$G$9),1),0),"Ok",IF(I77="","Check","Ok"))</f>
        <v>Ok</v>
      </c>
    </row>
    <row r="78" spans="1:33" ht="10.5">
      <c r="C78" s="51">
        <v>45473</v>
      </c>
      <c r="D78" s="8"/>
      <c r="E78" s="8"/>
      <c r="F78" s="50">
        <v>138.80000000000001</v>
      </c>
      <c r="G78" s="116"/>
      <c r="H78" s="124">
        <f>IF(OR(ISBLANK(F78),F78=""),IF(COUNT(G78:G$78)=0,"",IF(OR(ISBLANK(G78),G78=""),AVERAGE(H77,#REF!),(1+G78)*H74)),F78)</f>
        <v>138.80000000000001</v>
      </c>
      <c r="I78" s="75">
        <f t="shared" si="2"/>
        <v>3.8145100972326373E-2</v>
      </c>
      <c r="J78" s="192"/>
      <c r="K78" s="8"/>
      <c r="L78" s="8"/>
      <c r="V78" s="84" t="str">
        <f>IF(C78&gt;EOMONTH(DATE('Input|General'!$G$12,MONTH('Input|General'!$G$9),1),0),"Ok",IF(I78="","Check","Ok"))</f>
        <v>Ok</v>
      </c>
      <c r="W78" s="196"/>
    </row>
    <row r="79" spans="1:33" ht="10.5">
      <c r="F79" s="8"/>
      <c r="G79" s="8"/>
      <c r="H79" s="8"/>
      <c r="I79" s="8"/>
      <c r="J79" s="8"/>
      <c r="K79" s="8"/>
      <c r="L79" s="8"/>
      <c r="V79" s="85"/>
    </row>
    <row r="80" spans="1:33" customFormat="1" ht="12.3">
      <c r="A80" s="34"/>
      <c r="B80" s="40" t="s">
        <v>37</v>
      </c>
      <c r="C80" s="34"/>
      <c r="D80" s="34"/>
      <c r="E80" s="34"/>
      <c r="F80" s="34"/>
      <c r="G80" s="34"/>
      <c r="H80" s="34"/>
      <c r="I80" s="35"/>
      <c r="J80" s="35"/>
      <c r="K80" s="35"/>
      <c r="L80" s="35"/>
      <c r="M80" s="36"/>
      <c r="N80" s="37"/>
      <c r="O80" s="36"/>
      <c r="P80" s="37"/>
      <c r="Q80" s="36"/>
      <c r="R80" s="36"/>
      <c r="S80" s="36"/>
      <c r="T80" s="36"/>
      <c r="U80" s="36"/>
      <c r="V80" s="36"/>
      <c r="W80" s="36"/>
      <c r="X80" s="36"/>
      <c r="Y80" s="37"/>
      <c r="Z80" s="37"/>
      <c r="AA80" s="38"/>
      <c r="AB80" s="38"/>
      <c r="AC80" s="38"/>
      <c r="AD80" s="38"/>
      <c r="AE80" s="38"/>
      <c r="AF80" s="39"/>
      <c r="AG80" s="39"/>
    </row>
    <row r="81" spans="1:50" ht="10.199999999999999" hidden="1">
      <c r="J81" s="21"/>
      <c r="K81" s="21"/>
    </row>
    <row r="82" spans="1:50" ht="10.199999999999999" hidden="1">
      <c r="J82" s="21"/>
      <c r="K82" s="21"/>
    </row>
    <row r="83" spans="1:50" s="16" customFormat="1" ht="10.199999999999999" hidden="1">
      <c r="A83" s="8"/>
      <c r="B83" s="8"/>
      <c r="C83" s="8"/>
      <c r="J83" s="21"/>
      <c r="K83" s="21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</row>
    <row r="84" spans="1:50" s="16" customFormat="1" ht="10.199999999999999" hidden="1">
      <c r="A84" s="8"/>
      <c r="B84" s="8"/>
      <c r="C84" s="8"/>
      <c r="J84" s="21"/>
      <c r="K84" s="21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</row>
    <row r="85" spans="1:50" s="16" customFormat="1" ht="10.199999999999999" hidden="1">
      <c r="A85" s="8"/>
      <c r="B85" s="8"/>
      <c r="C85" s="8"/>
      <c r="J85" s="21"/>
      <c r="K85" s="21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</row>
    <row r="86" spans="1:50" s="16" customFormat="1" ht="10.199999999999999" hidden="1">
      <c r="A86" s="8"/>
      <c r="B86" s="8"/>
      <c r="C86" s="8"/>
      <c r="J86" s="21"/>
      <c r="K86" s="21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</row>
    <row r="87" spans="1:50" s="16" customFormat="1" ht="10.199999999999999" hidden="1">
      <c r="A87" s="8"/>
      <c r="B87" s="8"/>
      <c r="C87" s="8"/>
      <c r="J87" s="21"/>
      <c r="K87" s="21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</row>
    <row r="88" spans="1:50" s="16" customFormat="1" ht="10.199999999999999" hidden="1">
      <c r="A88" s="8"/>
      <c r="B88" s="8"/>
      <c r="C88" s="8"/>
      <c r="J88" s="21"/>
      <c r="K88" s="21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</row>
    <row r="89" spans="1:50" s="16" customFormat="1" ht="10.199999999999999" hidden="1">
      <c r="A89" s="8"/>
      <c r="B89" s="8"/>
      <c r="C89" s="8"/>
      <c r="J89" s="21"/>
      <c r="K89" s="21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</row>
    <row r="90" spans="1:50" s="16" customFormat="1" ht="10.199999999999999" hidden="1">
      <c r="A90" s="8"/>
      <c r="B90" s="8"/>
      <c r="C90" s="8"/>
      <c r="J90" s="21"/>
      <c r="K90" s="21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</row>
  </sheetData>
  <conditionalFormatting sqref="G21:G78">
    <cfRule type="expression" dxfId="148" priority="1">
      <formula>ISBLANK(F21)</formula>
    </cfRule>
  </conditionalFormatting>
  <conditionalFormatting sqref="V1">
    <cfRule type="cellIs" dxfId="147" priority="6" operator="equal">
      <formula>"Check"</formula>
    </cfRule>
    <cfRule type="cellIs" dxfId="146" priority="7" operator="equal">
      <formula>"Ok"</formula>
    </cfRule>
  </conditionalFormatting>
  <conditionalFormatting sqref="V9:V79 Z14:Z79">
    <cfRule type="cellIs" dxfId="145" priority="2" operator="equal">
      <formula>"Check"</formula>
    </cfRule>
    <cfRule type="cellIs" dxfId="144" priority="3" operator="equal">
      <formula>"Ok"</formula>
    </cfRule>
  </conditionalFormatting>
  <conditionalFormatting sqref="Y1">
    <cfRule type="cellIs" dxfId="143" priority="8" operator="equal">
      <formula>"Check"</formula>
    </cfRule>
    <cfRule type="cellIs" dxfId="142" priority="9" operator="equal">
      <formula>"Ok"</formula>
    </cfRule>
  </conditionalFormatting>
  <dataValidations count="2">
    <dataValidation type="list" allowBlank="1" showInputMessage="1" showErrorMessage="1" sqref="I79" xr:uid="{00000000-0002-0000-0300-000000000000}">
      <formula1>"Real 2010,Real 2011,Real 2012,Real 2013,Real 2014,Real 2015,Nominal"</formula1>
    </dataValidation>
    <dataValidation type="list" allowBlank="1" showInputMessage="1" showErrorMessage="1" sqref="L12:L79" xr:uid="{00000000-0002-0000-0300-000001000000}">
      <formula1>#REF!</formula1>
    </dataValidation>
  </dataValidations>
  <hyperlinks>
    <hyperlink ref="M1" location="Index!A1" display="Back to Index" xr:uid="{00000000-0004-0000-0300-000000000000}"/>
    <hyperlink ref="X1" location="'Check|List'!A1" display="Overall Check:" xr:uid="{00000000-0004-0000-0300-000001000000}"/>
  </hyperlinks>
  <pageMargins left="0.7" right="0.7" top="0.75" bottom="0.75" header="0.3" footer="0.3"/>
  <pageSetup paperSize="9" orientation="portrait" verticalDpi="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3E10B-E8AF-4AEC-A0ED-9E7156E46A1D}">
  <sheetPr>
    <tabColor theme="6"/>
  </sheetPr>
  <dimension ref="A1:AX67"/>
  <sheetViews>
    <sheetView showGridLines="0" zoomScaleNormal="100" workbookViewId="0"/>
  </sheetViews>
  <sheetFormatPr defaultColWidth="0" defaultRowHeight="0" customHeight="1" zeroHeight="1"/>
  <cols>
    <col min="1" max="2" width="1.46484375" style="8" customWidth="1"/>
    <col min="3" max="3" width="35.33203125" style="8" customWidth="1"/>
    <col min="4" max="4" width="13" style="16" customWidth="1"/>
    <col min="5" max="5" width="12.46484375" style="16" customWidth="1"/>
    <col min="6" max="6" width="18.33203125" style="16" customWidth="1"/>
    <col min="7" max="7" width="29.33203125" style="16" customWidth="1"/>
    <col min="8" max="12" width="15.1328125" style="16" customWidth="1"/>
    <col min="13" max="15" width="15.1328125" style="8" customWidth="1"/>
    <col min="16" max="16" width="10.796875" style="8" customWidth="1"/>
    <col min="17" max="21" width="17.6640625" style="8" customWidth="1"/>
    <col min="22" max="26" width="10.796875" style="8" customWidth="1"/>
    <col min="27" max="41" width="10.46484375" style="8" hidden="1" customWidth="1"/>
    <col min="42" max="16384" width="10.46484375" style="8" hidden="1"/>
  </cols>
  <sheetData>
    <row r="1" spans="1:33" s="29" customFormat="1" ht="15">
      <c r="B1" s="26" t="str">
        <f>Index!$B$1</f>
        <v>AER opex model - version: NTESMO 2024-27</v>
      </c>
      <c r="C1" s="26"/>
      <c r="D1" s="26"/>
      <c r="E1" s="26"/>
      <c r="F1" s="26"/>
      <c r="G1" s="26"/>
      <c r="H1" s="26"/>
      <c r="I1" s="27"/>
      <c r="J1" s="27"/>
      <c r="K1" s="27"/>
      <c r="L1" s="27"/>
      <c r="M1" s="28" t="s">
        <v>38</v>
      </c>
      <c r="O1" s="30" t="s">
        <v>39</v>
      </c>
      <c r="P1" s="48" t="s">
        <v>40</v>
      </c>
      <c r="Q1" s="11" t="s">
        <v>41</v>
      </c>
      <c r="R1" s="12" t="s">
        <v>42</v>
      </c>
      <c r="U1" s="30" t="s">
        <v>43</v>
      </c>
      <c r="V1" s="31" t="str">
        <f>IF(COUNTA($V$5:$V$12)=COUNTIF($V5:$V57,"OK"),"OK","Check")</f>
        <v>OK</v>
      </c>
      <c r="X1" s="113" t="s">
        <v>44</v>
      </c>
      <c r="Y1" s="31" t="str">
        <f>'Check|List'!$S$1</f>
        <v>Ok</v>
      </c>
    </row>
    <row r="2" spans="1:33" s="33" customFormat="1" ht="12.9" thickBot="1">
      <c r="B2" s="32" t="str">
        <f>Index!$C$9</f>
        <v>Input | PWC</v>
      </c>
      <c r="C2" s="32"/>
      <c r="D2" s="32"/>
      <c r="E2" s="32"/>
      <c r="F2" s="32"/>
      <c r="G2" s="32"/>
      <c r="H2" s="32"/>
      <c r="I2" s="55"/>
      <c r="J2" s="55"/>
      <c r="K2" s="55"/>
      <c r="L2" s="55"/>
    </row>
    <row r="3" spans="1:33" s="6" customFormat="1" ht="3" customHeight="1">
      <c r="D3" s="22"/>
      <c r="E3" s="22"/>
      <c r="F3" s="22"/>
      <c r="G3" s="22"/>
      <c r="H3" s="22"/>
      <c r="I3" s="22"/>
      <c r="J3" s="22"/>
      <c r="K3" s="22"/>
      <c r="L3" s="22"/>
    </row>
    <row r="4" spans="1:33" customFormat="1" ht="12.3">
      <c r="A4" s="34"/>
      <c r="B4" s="40" t="s">
        <v>73</v>
      </c>
      <c r="C4" s="34"/>
      <c r="D4" s="34"/>
      <c r="E4" s="34"/>
      <c r="F4" s="34"/>
      <c r="G4" s="34"/>
      <c r="H4" s="34"/>
      <c r="I4" s="35"/>
      <c r="J4" s="35"/>
      <c r="K4" s="35"/>
      <c r="L4" s="35"/>
      <c r="M4" s="36"/>
      <c r="N4" s="37"/>
      <c r="O4" s="36"/>
      <c r="P4" s="37"/>
      <c r="Q4" s="36"/>
      <c r="R4" s="36"/>
      <c r="S4" s="36"/>
      <c r="T4" s="36"/>
      <c r="U4" s="36"/>
      <c r="V4" s="36"/>
      <c r="W4" s="36"/>
      <c r="X4" s="36"/>
      <c r="Y4" s="37"/>
      <c r="Z4" s="37"/>
      <c r="AA4" s="38"/>
      <c r="AB4" s="38"/>
      <c r="AC4" s="38"/>
      <c r="AD4" s="38"/>
      <c r="AE4" s="38"/>
      <c r="AF4" s="39"/>
      <c r="AG4" s="39"/>
    </row>
    <row r="5" spans="1:33" ht="11.25" customHeight="1"/>
    <row r="6" spans="1:33" ht="30.9">
      <c r="C6" s="9" t="s">
        <v>74</v>
      </c>
      <c r="D6" s="128" t="s">
        <v>47</v>
      </c>
      <c r="E6" s="128" t="s">
        <v>70</v>
      </c>
      <c r="F6" s="128" t="s">
        <v>75</v>
      </c>
      <c r="H6" s="53" t="s">
        <v>76</v>
      </c>
      <c r="I6" s="53" t="s">
        <v>77</v>
      </c>
      <c r="J6" s="49" t="s">
        <v>78</v>
      </c>
      <c r="K6" s="53" t="s">
        <v>79</v>
      </c>
      <c r="L6" s="53" t="s">
        <v>80</v>
      </c>
      <c r="M6" s="53" t="s">
        <v>81</v>
      </c>
      <c r="N6" s="49" t="s">
        <v>82</v>
      </c>
      <c r="O6" s="49" t="s">
        <v>83</v>
      </c>
    </row>
    <row r="7" spans="1:33" ht="10.5">
      <c r="C7" s="205" t="s">
        <v>84</v>
      </c>
      <c r="D7" s="127" t="s">
        <v>51</v>
      </c>
      <c r="E7" s="127" t="str">
        <f>units</f>
        <v>$millions</v>
      </c>
      <c r="F7" s="146" t="s">
        <v>85</v>
      </c>
      <c r="H7" s="201">
        <v>0.88181136266335336</v>
      </c>
      <c r="I7" s="201">
        <v>0.55417297666756804</v>
      </c>
      <c r="J7" s="202">
        <f>SUM(H7:I7)</f>
        <v>1.4359843393309215</v>
      </c>
      <c r="K7" s="201">
        <v>2.0216173982250831</v>
      </c>
      <c r="L7" s="201">
        <v>0.2320786020854565</v>
      </c>
      <c r="M7" s="201">
        <v>5.273966271052025</v>
      </c>
      <c r="N7" s="202">
        <f>SUM(K7:M7)</f>
        <v>7.5276622713625647</v>
      </c>
      <c r="O7" s="202">
        <f>J7+N7</f>
        <v>8.9636466106934858</v>
      </c>
      <c r="V7" s="84" t="str">
        <f>IF(C7&gt;EOMONTH(DATE('Input|General'!$G$12,MONTH('Input|General'!$G$9),1),0),"Ok",IF(J7="","Check","Ok"))</f>
        <v>Ok</v>
      </c>
    </row>
    <row r="8" spans="1:33" ht="10.5">
      <c r="C8" s="205" t="s">
        <v>86</v>
      </c>
      <c r="D8" s="127" t="str">
        <f>$D$7</f>
        <v>NTESMO</v>
      </c>
      <c r="E8" s="127" t="str">
        <f>units</f>
        <v>$millions</v>
      </c>
      <c r="F8" s="146" t="str">
        <f>F7</f>
        <v>as at 31 Dec 2022</v>
      </c>
      <c r="H8" s="201">
        <v>5.4545499999999998E-3</v>
      </c>
      <c r="I8" s="201">
        <v>0</v>
      </c>
      <c r="J8" s="202">
        <f t="shared" ref="J8:J10" si="0">SUM(H8:I8)</f>
        <v>5.4545499999999998E-3</v>
      </c>
      <c r="K8" s="201">
        <v>0.34690164000000001</v>
      </c>
      <c r="L8" s="201">
        <v>0.3498856799999997</v>
      </c>
      <c r="M8" s="201">
        <v>6.9977999999999999E-2</v>
      </c>
      <c r="N8" s="202">
        <f t="shared" ref="N8:N10" si="1">SUM(K8:M8)</f>
        <v>0.76676531999999964</v>
      </c>
      <c r="O8" s="202">
        <f>J8+N8</f>
        <v>0.77221986999999959</v>
      </c>
      <c r="V8" s="84" t="str">
        <f>IF(C8&gt;EOMONTH(DATE('Input|General'!$G$12,MONTH('Input|General'!$G$9),1),0),"Ok",IF(J8="","Check","Ok"))</f>
        <v>Ok</v>
      </c>
    </row>
    <row r="9" spans="1:33" ht="10.5">
      <c r="C9" s="205" t="s">
        <v>87</v>
      </c>
      <c r="D9" s="127" t="str">
        <f t="shared" ref="D9:D10" si="2">$D$7</f>
        <v>NTESMO</v>
      </c>
      <c r="E9" s="127" t="str">
        <f>units</f>
        <v>$millions</v>
      </c>
      <c r="F9" s="146" t="str">
        <f t="shared" ref="F9:F11" si="3">F8</f>
        <v>as at 31 Dec 2022</v>
      </c>
      <c r="H9" s="201">
        <v>1.1006E-3</v>
      </c>
      <c r="I9" s="201">
        <v>2.1215289999999998E-2</v>
      </c>
      <c r="J9" s="202">
        <f t="shared" si="0"/>
        <v>2.2315889999999998E-2</v>
      </c>
      <c r="K9" s="201">
        <v>7.6511793062985514E-2</v>
      </c>
      <c r="L9" s="201">
        <v>0.54218592878275407</v>
      </c>
      <c r="M9" s="201">
        <v>0.14465352763979708</v>
      </c>
      <c r="N9" s="202">
        <f t="shared" si="1"/>
        <v>0.76335124948553668</v>
      </c>
      <c r="O9" s="202">
        <f>J9+N9</f>
        <v>0.78566713948553668</v>
      </c>
      <c r="V9" s="84" t="str">
        <f>IF(C9&gt;EOMONTH(DATE('Input|General'!$G$12,MONTH('Input|General'!$G$9),1),0),"Ok",IF(J9="","Check","Ok"))</f>
        <v>Ok</v>
      </c>
    </row>
    <row r="10" spans="1:33" ht="10.5">
      <c r="C10" s="205" t="s">
        <v>88</v>
      </c>
      <c r="D10" s="127" t="str">
        <f t="shared" si="2"/>
        <v>NTESMO</v>
      </c>
      <c r="E10" s="127" t="str">
        <f>units</f>
        <v>$millions</v>
      </c>
      <c r="F10" s="146" t="str">
        <f t="shared" si="3"/>
        <v>as at 31 Dec 2022</v>
      </c>
      <c r="H10" s="201">
        <v>0.33902010403782679</v>
      </c>
      <c r="I10" s="201">
        <v>0.21958075551830808</v>
      </c>
      <c r="J10" s="202">
        <f t="shared" si="0"/>
        <v>0.55860085955613492</v>
      </c>
      <c r="K10" s="201">
        <v>0.79351618719179751</v>
      </c>
      <c r="L10" s="201">
        <v>0.36483441343316958</v>
      </c>
      <c r="M10" s="201">
        <v>1.7812827316998754</v>
      </c>
      <c r="N10" s="202">
        <f t="shared" si="1"/>
        <v>2.9396333323248425</v>
      </c>
      <c r="O10" s="202">
        <f>J10+N10</f>
        <v>3.4982341918809774</v>
      </c>
      <c r="V10" s="84" t="str">
        <f>IF(C10&gt;EOMONTH(DATE('Input|General'!$G$12,MONTH('Input|General'!$G$9),1),0),"Ok",IF(J10="","Check","Ok"))</f>
        <v>Ok</v>
      </c>
    </row>
    <row r="11" spans="1:33" ht="10.5">
      <c r="C11" s="198" t="s">
        <v>89</v>
      </c>
      <c r="D11" s="128" t="s">
        <v>68</v>
      </c>
      <c r="E11" s="128" t="str">
        <f>units</f>
        <v>$millions</v>
      </c>
      <c r="F11" s="199" t="str">
        <f t="shared" si="3"/>
        <v>as at 31 Dec 2022</v>
      </c>
      <c r="H11" s="203">
        <f t="shared" ref="H11:I11" si="4">SUM(H7:H10)</f>
        <v>1.22738661670118</v>
      </c>
      <c r="I11" s="203">
        <f t="shared" si="4"/>
        <v>0.79496902218587606</v>
      </c>
      <c r="J11" s="203">
        <f>SUM(J7:J10)</f>
        <v>2.0223556388870563</v>
      </c>
      <c r="K11" s="203">
        <f t="shared" ref="K11:M11" si="5">SUM(K7:K10)</f>
        <v>3.2385470184798661</v>
      </c>
      <c r="L11" s="203">
        <f t="shared" si="5"/>
        <v>1.4889846243013798</v>
      </c>
      <c r="M11" s="203">
        <f t="shared" si="5"/>
        <v>7.2698805303916973</v>
      </c>
      <c r="N11" s="203">
        <f>SUM(N7:N10)</f>
        <v>11.997412173172943</v>
      </c>
      <c r="O11" s="203">
        <f>SUM(O7:O10)</f>
        <v>14.019767812059998</v>
      </c>
      <c r="V11" s="84" t="str">
        <f>IF(C11&gt;EOMONTH(DATE('Input|General'!$G$12,MONTH('Input|General'!$G$9),1),0),"Ok",IF(J11="","Check","Ok"))</f>
        <v>Ok</v>
      </c>
    </row>
    <row r="12" spans="1:33" ht="10.5">
      <c r="E12" s="8"/>
      <c r="F12" s="8"/>
      <c r="G12" s="8"/>
      <c r="J12" s="8"/>
      <c r="K12" s="8"/>
      <c r="L12" s="8"/>
      <c r="V12" s="85"/>
    </row>
    <row r="13" spans="1:33" ht="10.5">
      <c r="C13" s="197" t="s">
        <v>90</v>
      </c>
      <c r="E13" s="8"/>
      <c r="F13" s="8"/>
      <c r="G13" s="8"/>
      <c r="J13" s="75">
        <f>IF($O$11=0,0,J11/$O$11)</f>
        <v>0.14425029472652165</v>
      </c>
      <c r="K13" s="8"/>
      <c r="L13" s="8"/>
      <c r="N13" s="75">
        <f>IF($O$11=0,0,N11/$O$11)</f>
        <v>0.85574970527347849</v>
      </c>
      <c r="V13" s="85"/>
    </row>
    <row r="14" spans="1:33" ht="10.5">
      <c r="F14" s="8"/>
      <c r="G14" s="8"/>
      <c r="H14" s="8"/>
      <c r="I14" s="8"/>
      <c r="J14" s="8"/>
      <c r="K14" s="8"/>
      <c r="L14" s="8"/>
      <c r="V14" s="85"/>
    </row>
    <row r="15" spans="1:33" customFormat="1" ht="12.3">
      <c r="A15" s="34"/>
      <c r="B15" s="40" t="s">
        <v>91</v>
      </c>
      <c r="C15" s="34"/>
      <c r="D15" s="34"/>
      <c r="E15" s="34"/>
      <c r="F15" s="34"/>
      <c r="G15" s="34"/>
      <c r="H15" s="34"/>
      <c r="I15" s="35"/>
      <c r="J15" s="35"/>
      <c r="K15" s="35"/>
      <c r="L15" s="35"/>
      <c r="M15" s="36"/>
      <c r="N15" s="37"/>
      <c r="O15" s="36"/>
      <c r="P15" s="37"/>
      <c r="Q15" s="36"/>
      <c r="R15" s="36"/>
      <c r="S15" s="36"/>
      <c r="T15" s="36"/>
      <c r="U15" s="36"/>
      <c r="V15" s="36"/>
      <c r="W15" s="36"/>
      <c r="X15" s="36"/>
      <c r="Y15" s="37"/>
      <c r="Z15" s="37"/>
      <c r="AA15" s="38"/>
      <c r="AB15" s="38"/>
      <c r="AC15" s="38"/>
      <c r="AD15" s="38"/>
      <c r="AE15" s="38"/>
      <c r="AF15" s="39"/>
      <c r="AG15" s="39"/>
    </row>
    <row r="16" spans="1:33" ht="10.5">
      <c r="F16" s="8"/>
      <c r="G16" s="8"/>
      <c r="H16" s="8"/>
      <c r="I16" s="8"/>
      <c r="J16" s="8"/>
      <c r="K16" s="8"/>
      <c r="L16" s="8"/>
      <c r="V16" s="85"/>
    </row>
    <row r="17" spans="3:22" ht="30.9">
      <c r="C17" s="9" t="s">
        <v>92</v>
      </c>
      <c r="D17" s="128" t="str">
        <f>D6</f>
        <v>Source</v>
      </c>
      <c r="E17" s="128" t="str">
        <f t="shared" ref="E17:F17" si="6">E6</f>
        <v>Unit</v>
      </c>
      <c r="F17" s="128" t="str">
        <f t="shared" si="6"/>
        <v>Basis</v>
      </c>
      <c r="G17" s="9" t="str">
        <f>C6</f>
        <v>Cost category</v>
      </c>
      <c r="H17" s="53" t="str">
        <f>H6</f>
        <v>Market Operations (MO)</v>
      </c>
      <c r="I17" s="53" t="str">
        <f t="shared" ref="I17:O17" si="7">I6</f>
        <v>NTEM Development (MO)</v>
      </c>
      <c r="J17" s="49" t="str">
        <f t="shared" si="7"/>
        <v>Market Operator</v>
      </c>
      <c r="K17" s="53" t="str">
        <f t="shared" si="7"/>
        <v>Operations Planning (SC)</v>
      </c>
      <c r="L17" s="53" t="str">
        <f t="shared" si="7"/>
        <v>Power System Evolution (SC)</v>
      </c>
      <c r="M17" s="53" t="str">
        <f t="shared" si="7"/>
        <v>Real Time Operations (SC)</v>
      </c>
      <c r="N17" s="49" t="str">
        <f t="shared" si="7"/>
        <v>System Control</v>
      </c>
      <c r="O17" s="49" t="str">
        <f t="shared" si="7"/>
        <v>Total NTESMO</v>
      </c>
      <c r="V17" s="85"/>
    </row>
    <row r="18" spans="3:22" ht="10.5">
      <c r="C18" s="205" t="s">
        <v>93</v>
      </c>
      <c r="D18" s="127" t="str">
        <f t="shared" ref="D18:D22" si="8">$D$7</f>
        <v>NTESMO</v>
      </c>
      <c r="E18" s="127" t="str">
        <f t="shared" ref="E18:E42" si="9">units</f>
        <v>$millions</v>
      </c>
      <c r="F18" s="146" t="str">
        <f>$F$7</f>
        <v>as at 31 Dec 2022</v>
      </c>
      <c r="G18" s="8" t="str">
        <f>$C$7</f>
        <v>Personnel Costs</v>
      </c>
      <c r="H18" s="201">
        <v>0</v>
      </c>
      <c r="I18" s="201">
        <v>0</v>
      </c>
      <c r="J18" s="202">
        <f>SUM(H18:I18)</f>
        <v>0</v>
      </c>
      <c r="K18" s="201">
        <v>0</v>
      </c>
      <c r="L18" s="201">
        <v>0</v>
      </c>
      <c r="M18" s="201">
        <v>0</v>
      </c>
      <c r="N18" s="202">
        <f>SUM(K18:M18)</f>
        <v>0</v>
      </c>
      <c r="O18" s="202">
        <f>J18+N18</f>
        <v>0</v>
      </c>
      <c r="V18" s="85"/>
    </row>
    <row r="19" spans="3:22" ht="10.5">
      <c r="C19" s="205" t="s">
        <v>94</v>
      </c>
      <c r="D19" s="127" t="str">
        <f t="shared" si="8"/>
        <v>NTESMO</v>
      </c>
      <c r="E19" s="127" t="str">
        <f t="shared" si="9"/>
        <v>$millions</v>
      </c>
      <c r="F19" s="146" t="str">
        <f t="shared" ref="F19:F42" si="10">$F$7</f>
        <v>as at 31 Dec 2022</v>
      </c>
      <c r="G19" s="8" t="str">
        <f t="shared" ref="G19:G22" si="11">$C$7</f>
        <v>Personnel Costs</v>
      </c>
      <c r="H19" s="201">
        <v>-1.0831893930000001E-2</v>
      </c>
      <c r="I19" s="201">
        <v>-5.6838251520000011E-3</v>
      </c>
      <c r="J19" s="202">
        <f t="shared" ref="J19:J21" si="12">SUM(H19:I19)</f>
        <v>-1.6515719082000002E-2</v>
      </c>
      <c r="K19" s="201">
        <v>-4.9188883878000002E-2</v>
      </c>
      <c r="L19" s="201">
        <v>-1.1843847963000002E-2</v>
      </c>
      <c r="M19" s="201">
        <v>-0.12814761810600003</v>
      </c>
      <c r="N19" s="202">
        <f t="shared" ref="N19:N21" si="13">SUM(K19:M19)</f>
        <v>-0.18918034994700003</v>
      </c>
      <c r="O19" s="202">
        <f>J19+N19</f>
        <v>-0.20569606902900003</v>
      </c>
      <c r="V19" s="85"/>
    </row>
    <row r="20" spans="3:22" ht="10.5">
      <c r="C20" s="205" t="s">
        <v>95</v>
      </c>
      <c r="D20" s="127" t="str">
        <f t="shared" si="8"/>
        <v>NTESMO</v>
      </c>
      <c r="E20" s="127" t="str">
        <f t="shared" si="9"/>
        <v>$millions</v>
      </c>
      <c r="F20" s="146" t="str">
        <f t="shared" si="10"/>
        <v>as at 31 Dec 2022</v>
      </c>
      <c r="G20" s="8" t="str">
        <f t="shared" si="11"/>
        <v>Personnel Costs</v>
      </c>
      <c r="H20" s="201">
        <v>0</v>
      </c>
      <c r="I20" s="201">
        <v>0</v>
      </c>
      <c r="J20" s="202">
        <f t="shared" si="12"/>
        <v>0</v>
      </c>
      <c r="K20" s="201">
        <v>0</v>
      </c>
      <c r="L20" s="201">
        <v>0</v>
      </c>
      <c r="M20" s="201">
        <v>0</v>
      </c>
      <c r="N20" s="202">
        <f t="shared" si="13"/>
        <v>0</v>
      </c>
      <c r="O20" s="202">
        <f>J20+N20</f>
        <v>0</v>
      </c>
      <c r="V20" s="85"/>
    </row>
    <row r="21" spans="3:22" ht="10.5">
      <c r="C21" s="205" t="s">
        <v>96</v>
      </c>
      <c r="D21" s="127" t="str">
        <f t="shared" si="8"/>
        <v>NTESMO</v>
      </c>
      <c r="E21" s="127" t="str">
        <f t="shared" si="9"/>
        <v>$millions</v>
      </c>
      <c r="F21" s="146" t="str">
        <f t="shared" si="10"/>
        <v>as at 31 Dec 2022</v>
      </c>
      <c r="G21" s="8" t="str">
        <f t="shared" si="11"/>
        <v>Personnel Costs</v>
      </c>
      <c r="H21" s="201">
        <v>0</v>
      </c>
      <c r="I21" s="201">
        <v>0</v>
      </c>
      <c r="J21" s="202">
        <f t="shared" si="12"/>
        <v>0</v>
      </c>
      <c r="K21" s="201">
        <v>0</v>
      </c>
      <c r="L21" s="201">
        <v>0</v>
      </c>
      <c r="M21" s="201">
        <v>0</v>
      </c>
      <c r="N21" s="202">
        <f t="shared" si="13"/>
        <v>0</v>
      </c>
      <c r="O21" s="202">
        <f>J21+N21</f>
        <v>0</v>
      </c>
      <c r="V21" s="85"/>
    </row>
    <row r="22" spans="3:22" ht="10.5">
      <c r="C22" s="205" t="s">
        <v>97</v>
      </c>
      <c r="D22" s="127" t="str">
        <f t="shared" si="8"/>
        <v>NTESMO</v>
      </c>
      <c r="E22" s="127" t="str">
        <f t="shared" si="9"/>
        <v>$millions</v>
      </c>
      <c r="F22" s="146" t="str">
        <f t="shared" si="10"/>
        <v>as at 31 Dec 2022</v>
      </c>
      <c r="G22" s="8" t="str">
        <f t="shared" si="11"/>
        <v>Personnel Costs</v>
      </c>
      <c r="H22" s="201">
        <v>0</v>
      </c>
      <c r="I22" s="201">
        <v>0</v>
      </c>
      <c r="J22" s="202">
        <f t="shared" ref="J22" si="14">SUM(H22:I22)</f>
        <v>0</v>
      </c>
      <c r="K22" s="201">
        <v>0</v>
      </c>
      <c r="L22" s="201">
        <v>0</v>
      </c>
      <c r="M22" s="201">
        <v>0</v>
      </c>
      <c r="N22" s="202">
        <f t="shared" ref="N22" si="15">SUM(K22:M22)</f>
        <v>0</v>
      </c>
      <c r="O22" s="202">
        <f>J22+N22</f>
        <v>0</v>
      </c>
      <c r="V22" s="85"/>
    </row>
    <row r="23" spans="3:22" ht="10.5">
      <c r="C23" s="198" t="s">
        <v>98</v>
      </c>
      <c r="D23" s="128" t="s">
        <v>68</v>
      </c>
      <c r="E23" s="128" t="str">
        <f t="shared" si="9"/>
        <v>$millions</v>
      </c>
      <c r="F23" s="199" t="str">
        <f t="shared" si="10"/>
        <v>as at 31 Dec 2022</v>
      </c>
      <c r="G23" s="8" t="s">
        <v>99</v>
      </c>
      <c r="H23" s="203">
        <f>SUM(H18:H22)</f>
        <v>-1.0831893930000001E-2</v>
      </c>
      <c r="I23" s="203">
        <f t="shared" ref="I23" si="16">SUM(I18:I22)</f>
        <v>-5.6838251520000011E-3</v>
      </c>
      <c r="J23" s="203">
        <f t="shared" ref="J23" si="17">SUM(J18:J22)</f>
        <v>-1.6515719082000002E-2</v>
      </c>
      <c r="K23" s="203">
        <f t="shared" ref="K23" si="18">SUM(K18:K22)</f>
        <v>-4.9188883878000002E-2</v>
      </c>
      <c r="L23" s="203">
        <f t="shared" ref="L23" si="19">SUM(L18:L22)</f>
        <v>-1.1843847963000002E-2</v>
      </c>
      <c r="M23" s="203">
        <f t="shared" ref="M23" si="20">SUM(M18:M22)</f>
        <v>-0.12814761810600003</v>
      </c>
      <c r="N23" s="203">
        <f t="shared" ref="N23" si="21">SUM(N18:N22)</f>
        <v>-0.18918034994700003</v>
      </c>
      <c r="O23" s="203">
        <f t="shared" ref="O23" si="22">SUM(O18:O22)</f>
        <v>-0.20569606902900003</v>
      </c>
      <c r="V23" s="85"/>
    </row>
    <row r="24" spans="3:22" ht="10.5">
      <c r="C24" s="205" t="str">
        <f>$C$18</f>
        <v>Capex Personnel</v>
      </c>
      <c r="D24" s="127" t="str">
        <f t="shared" ref="D24:D28" si="23">$D$7</f>
        <v>NTESMO</v>
      </c>
      <c r="E24" s="127" t="str">
        <f t="shared" si="9"/>
        <v>$millions</v>
      </c>
      <c r="F24" s="146" t="str">
        <f t="shared" si="10"/>
        <v>as at 31 Dec 2022</v>
      </c>
      <c r="G24" s="8" t="str">
        <f>$C$8</f>
        <v>Professional Fees</v>
      </c>
      <c r="H24" s="201">
        <v>0</v>
      </c>
      <c r="I24" s="201">
        <v>0</v>
      </c>
      <c r="J24" s="202">
        <f>SUM(H24:I24)</f>
        <v>0</v>
      </c>
      <c r="K24" s="201">
        <v>0</v>
      </c>
      <c r="L24" s="201">
        <v>0</v>
      </c>
      <c r="M24" s="201">
        <v>0</v>
      </c>
      <c r="N24" s="202">
        <f>SUM(K24:M24)</f>
        <v>0</v>
      </c>
      <c r="O24" s="202">
        <f>J24+N24</f>
        <v>0</v>
      </c>
      <c r="V24" s="85"/>
    </row>
    <row r="25" spans="3:22" ht="10.5">
      <c r="C25" s="205" t="str">
        <f>$C$19</f>
        <v>Back-pay Journal</v>
      </c>
      <c r="D25" s="127" t="str">
        <f t="shared" si="23"/>
        <v>NTESMO</v>
      </c>
      <c r="E25" s="127" t="str">
        <f t="shared" si="9"/>
        <v>$millions</v>
      </c>
      <c r="F25" s="146" t="str">
        <f t="shared" si="10"/>
        <v>as at 31 Dec 2022</v>
      </c>
      <c r="G25" s="8" t="str">
        <f t="shared" ref="G25:G28" si="24">$C$8</f>
        <v>Professional Fees</v>
      </c>
      <c r="H25" s="201">
        <v>0</v>
      </c>
      <c r="I25" s="201">
        <v>0</v>
      </c>
      <c r="J25" s="202">
        <f t="shared" ref="J25:J28" si="25">SUM(H25:I25)</f>
        <v>0</v>
      </c>
      <c r="K25" s="201">
        <v>0</v>
      </c>
      <c r="L25" s="201">
        <v>0</v>
      </c>
      <c r="M25" s="201">
        <v>0</v>
      </c>
      <c r="N25" s="202">
        <f t="shared" ref="N25:N28" si="26">SUM(K25:M25)</f>
        <v>0</v>
      </c>
      <c r="O25" s="202">
        <f>J25+N25</f>
        <v>0</v>
      </c>
      <c r="V25" s="85"/>
    </row>
    <row r="26" spans="3:22" ht="10.5">
      <c r="C26" s="205" t="str">
        <f>$C$20</f>
        <v>Adjustments for one-off expenditure</v>
      </c>
      <c r="D26" s="127" t="str">
        <f t="shared" si="23"/>
        <v>NTESMO</v>
      </c>
      <c r="E26" s="127" t="str">
        <f t="shared" si="9"/>
        <v>$millions</v>
      </c>
      <c r="F26" s="146" t="str">
        <f t="shared" si="10"/>
        <v>as at 31 Dec 2022</v>
      </c>
      <c r="G26" s="8" t="str">
        <f t="shared" si="24"/>
        <v>Professional Fees</v>
      </c>
      <c r="H26" s="201">
        <v>0</v>
      </c>
      <c r="I26" s="201">
        <v>0</v>
      </c>
      <c r="J26" s="202">
        <f t="shared" si="25"/>
        <v>0</v>
      </c>
      <c r="K26" s="201">
        <v>0</v>
      </c>
      <c r="L26" s="201">
        <v>-0.16376646</v>
      </c>
      <c r="M26" s="201">
        <v>0</v>
      </c>
      <c r="N26" s="202">
        <f t="shared" si="26"/>
        <v>-0.16376646</v>
      </c>
      <c r="O26" s="202">
        <f>J26+N26</f>
        <v>-0.16376646</v>
      </c>
      <c r="V26" s="85"/>
    </row>
    <row r="27" spans="3:22" ht="10.5">
      <c r="C27" s="205" t="str">
        <f>$C$21</f>
        <v>Personnel Activity Reallocation</v>
      </c>
      <c r="D27" s="127" t="str">
        <f t="shared" si="23"/>
        <v>NTESMO</v>
      </c>
      <c r="E27" s="127" t="str">
        <f t="shared" si="9"/>
        <v>$millions</v>
      </c>
      <c r="F27" s="146" t="str">
        <f t="shared" si="10"/>
        <v>as at 31 Dec 2022</v>
      </c>
      <c r="G27" s="8" t="str">
        <f t="shared" si="24"/>
        <v>Professional Fees</v>
      </c>
      <c r="H27" s="201">
        <v>0</v>
      </c>
      <c r="I27" s="201">
        <v>0</v>
      </c>
      <c r="J27" s="202">
        <f t="shared" si="25"/>
        <v>0</v>
      </c>
      <c r="K27" s="201">
        <v>0</v>
      </c>
      <c r="L27" s="201">
        <v>0</v>
      </c>
      <c r="M27" s="201">
        <v>0</v>
      </c>
      <c r="N27" s="202">
        <f t="shared" si="26"/>
        <v>0</v>
      </c>
      <c r="O27" s="202">
        <f>J27+N27</f>
        <v>0</v>
      </c>
      <c r="V27" s="85"/>
    </row>
    <row r="28" spans="3:22" ht="10.5">
      <c r="C28" s="205" t="str">
        <f>$C$22</f>
        <v>Removal of Corporate Overheads</v>
      </c>
      <c r="D28" s="127" t="str">
        <f t="shared" si="23"/>
        <v>NTESMO</v>
      </c>
      <c r="E28" s="127" t="str">
        <f t="shared" si="9"/>
        <v>$millions</v>
      </c>
      <c r="F28" s="146" t="str">
        <f t="shared" si="10"/>
        <v>as at 31 Dec 2022</v>
      </c>
      <c r="G28" s="8" t="str">
        <f t="shared" si="24"/>
        <v>Professional Fees</v>
      </c>
      <c r="H28" s="201">
        <v>0</v>
      </c>
      <c r="I28" s="201">
        <v>0</v>
      </c>
      <c r="J28" s="202">
        <f t="shared" si="25"/>
        <v>0</v>
      </c>
      <c r="K28" s="201">
        <v>0</v>
      </c>
      <c r="L28" s="201">
        <v>0</v>
      </c>
      <c r="M28" s="201">
        <v>0</v>
      </c>
      <c r="N28" s="202">
        <f t="shared" si="26"/>
        <v>0</v>
      </c>
      <c r="O28" s="202">
        <f>J28+N28</f>
        <v>0</v>
      </c>
      <c r="V28" s="85"/>
    </row>
    <row r="29" spans="3:22" ht="10.5">
      <c r="C29" s="198" t="str">
        <f>$C$23</f>
        <v>Sub Total</v>
      </c>
      <c r="D29" s="128" t="s">
        <v>68</v>
      </c>
      <c r="E29" s="128" t="str">
        <f t="shared" si="9"/>
        <v>$millions</v>
      </c>
      <c r="F29" s="199" t="str">
        <f t="shared" si="10"/>
        <v>as at 31 Dec 2022</v>
      </c>
      <c r="G29" s="8" t="s">
        <v>99</v>
      </c>
      <c r="H29" s="203">
        <f>SUM(H24:H28)</f>
        <v>0</v>
      </c>
      <c r="I29" s="203">
        <f t="shared" ref="I29" si="27">SUM(I24:I28)</f>
        <v>0</v>
      </c>
      <c r="J29" s="203">
        <f t="shared" ref="J29" si="28">SUM(J24:J28)</f>
        <v>0</v>
      </c>
      <c r="K29" s="203">
        <f t="shared" ref="K29" si="29">SUM(K24:K28)</f>
        <v>0</v>
      </c>
      <c r="L29" s="203">
        <f t="shared" ref="L29" si="30">SUM(L24:L28)</f>
        <v>-0.16376646</v>
      </c>
      <c r="M29" s="203">
        <f t="shared" ref="M29" si="31">SUM(M24:M28)</f>
        <v>0</v>
      </c>
      <c r="N29" s="203">
        <f t="shared" ref="N29" si="32">SUM(N24:N28)</f>
        <v>-0.16376646</v>
      </c>
      <c r="O29" s="203">
        <f t="shared" ref="O29" si="33">SUM(O24:O28)</f>
        <v>-0.16376646</v>
      </c>
      <c r="V29" s="85"/>
    </row>
    <row r="30" spans="3:22" ht="10.5">
      <c r="C30" s="205" t="str">
        <f>$C$18</f>
        <v>Capex Personnel</v>
      </c>
      <c r="D30" s="127" t="str">
        <f t="shared" ref="D30:D34" si="34">$D$7</f>
        <v>NTESMO</v>
      </c>
      <c r="E30" s="127" t="str">
        <f t="shared" si="9"/>
        <v>$millions</v>
      </c>
      <c r="F30" s="146" t="str">
        <f t="shared" si="10"/>
        <v>as at 31 Dec 2022</v>
      </c>
      <c r="G30" s="8" t="str">
        <f>$C$9</f>
        <v>Residual Costs</v>
      </c>
      <c r="H30" s="201">
        <v>0</v>
      </c>
      <c r="I30" s="201">
        <v>0</v>
      </c>
      <c r="J30" s="202">
        <f>SUM(H30:I30)</f>
        <v>0</v>
      </c>
      <c r="K30" s="201">
        <v>0</v>
      </c>
      <c r="L30" s="201">
        <v>0</v>
      </c>
      <c r="M30" s="201">
        <v>0</v>
      </c>
      <c r="N30" s="202">
        <f>SUM(K30:M30)</f>
        <v>0</v>
      </c>
      <c r="O30" s="202">
        <f>J30+N30</f>
        <v>0</v>
      </c>
      <c r="V30" s="85"/>
    </row>
    <row r="31" spans="3:22" ht="10.5">
      <c r="C31" s="205" t="str">
        <f>$C$19</f>
        <v>Back-pay Journal</v>
      </c>
      <c r="D31" s="127" t="str">
        <f t="shared" si="34"/>
        <v>NTESMO</v>
      </c>
      <c r="E31" s="127" t="str">
        <f t="shared" si="9"/>
        <v>$millions</v>
      </c>
      <c r="F31" s="146" t="str">
        <f t="shared" si="10"/>
        <v>as at 31 Dec 2022</v>
      </c>
      <c r="G31" s="8" t="str">
        <f t="shared" ref="G31:G34" si="35">$C$9</f>
        <v>Residual Costs</v>
      </c>
      <c r="H31" s="201">
        <v>0</v>
      </c>
      <c r="I31" s="201">
        <v>0</v>
      </c>
      <c r="J31" s="202">
        <f t="shared" ref="J31:J34" si="36">SUM(H31:I31)</f>
        <v>0</v>
      </c>
      <c r="K31" s="201">
        <v>0</v>
      </c>
      <c r="L31" s="201">
        <v>0</v>
      </c>
      <c r="M31" s="201">
        <v>0</v>
      </c>
      <c r="N31" s="202">
        <f t="shared" ref="N31:N34" si="37">SUM(K31:M31)</f>
        <v>0</v>
      </c>
      <c r="O31" s="202">
        <f>J31+N31</f>
        <v>0</v>
      </c>
      <c r="V31" s="85"/>
    </row>
    <row r="32" spans="3:22" ht="10.5">
      <c r="C32" s="205" t="str">
        <f>$C$20</f>
        <v>Adjustments for one-off expenditure</v>
      </c>
      <c r="D32" s="127" t="str">
        <f t="shared" si="34"/>
        <v>NTESMO</v>
      </c>
      <c r="E32" s="127" t="str">
        <f t="shared" si="9"/>
        <v>$millions</v>
      </c>
      <c r="F32" s="146" t="str">
        <f t="shared" si="10"/>
        <v>as at 31 Dec 2022</v>
      </c>
      <c r="G32" s="8" t="str">
        <f t="shared" si="35"/>
        <v>Residual Costs</v>
      </c>
      <c r="H32" s="201">
        <v>0</v>
      </c>
      <c r="I32" s="201">
        <v>0</v>
      </c>
      <c r="J32" s="202">
        <f t="shared" si="36"/>
        <v>0</v>
      </c>
      <c r="K32" s="201">
        <v>0</v>
      </c>
      <c r="L32" s="201">
        <v>-0.40779694999999999</v>
      </c>
      <c r="M32" s="201">
        <v>0</v>
      </c>
      <c r="N32" s="202">
        <f t="shared" si="37"/>
        <v>-0.40779694999999999</v>
      </c>
      <c r="O32" s="202">
        <f>J32+N32</f>
        <v>-0.40779694999999999</v>
      </c>
      <c r="V32" s="85"/>
    </row>
    <row r="33" spans="1:33" ht="10.5">
      <c r="C33" s="205" t="str">
        <f>$C$21</f>
        <v>Personnel Activity Reallocation</v>
      </c>
      <c r="D33" s="127" t="str">
        <f t="shared" si="34"/>
        <v>NTESMO</v>
      </c>
      <c r="E33" s="127" t="str">
        <f t="shared" si="9"/>
        <v>$millions</v>
      </c>
      <c r="F33" s="146" t="str">
        <f t="shared" si="10"/>
        <v>as at 31 Dec 2022</v>
      </c>
      <c r="G33" s="8" t="str">
        <f t="shared" si="35"/>
        <v>Residual Costs</v>
      </c>
      <c r="H33" s="201">
        <v>0</v>
      </c>
      <c r="I33" s="201">
        <v>0</v>
      </c>
      <c r="J33" s="202">
        <f t="shared" si="36"/>
        <v>0</v>
      </c>
      <c r="K33" s="201">
        <v>0</v>
      </c>
      <c r="L33" s="201">
        <v>0</v>
      </c>
      <c r="M33" s="201">
        <v>0</v>
      </c>
      <c r="N33" s="202">
        <f t="shared" si="37"/>
        <v>0</v>
      </c>
      <c r="O33" s="202">
        <f>J33+N33</f>
        <v>0</v>
      </c>
      <c r="V33" s="85"/>
    </row>
    <row r="34" spans="1:33" ht="10.5">
      <c r="C34" s="205" t="str">
        <f>$C$22</f>
        <v>Removal of Corporate Overheads</v>
      </c>
      <c r="D34" s="127" t="str">
        <f t="shared" si="34"/>
        <v>NTESMO</v>
      </c>
      <c r="E34" s="127" t="str">
        <f t="shared" si="9"/>
        <v>$millions</v>
      </c>
      <c r="F34" s="146" t="str">
        <f t="shared" si="10"/>
        <v>as at 31 Dec 2022</v>
      </c>
      <c r="G34" s="8" t="str">
        <f t="shared" si="35"/>
        <v>Residual Costs</v>
      </c>
      <c r="H34" s="201">
        <v>0</v>
      </c>
      <c r="I34" s="201">
        <v>0</v>
      </c>
      <c r="J34" s="202">
        <f t="shared" si="36"/>
        <v>0</v>
      </c>
      <c r="K34" s="201">
        <v>0</v>
      </c>
      <c r="L34" s="201">
        <v>0</v>
      </c>
      <c r="M34" s="201">
        <v>0</v>
      </c>
      <c r="N34" s="202">
        <f t="shared" si="37"/>
        <v>0</v>
      </c>
      <c r="O34" s="202">
        <f>J34+N34</f>
        <v>0</v>
      </c>
      <c r="V34" s="85"/>
    </row>
    <row r="35" spans="1:33" ht="10.5">
      <c r="C35" s="198" t="str">
        <f>$C$23</f>
        <v>Sub Total</v>
      </c>
      <c r="D35" s="128" t="s">
        <v>68</v>
      </c>
      <c r="E35" s="128" t="str">
        <f t="shared" si="9"/>
        <v>$millions</v>
      </c>
      <c r="F35" s="199" t="str">
        <f t="shared" si="10"/>
        <v>as at 31 Dec 2022</v>
      </c>
      <c r="G35" s="8" t="s">
        <v>99</v>
      </c>
      <c r="H35" s="203">
        <f>SUM(H30:H34)</f>
        <v>0</v>
      </c>
      <c r="I35" s="203">
        <f t="shared" ref="I35" si="38">SUM(I30:I34)</f>
        <v>0</v>
      </c>
      <c r="J35" s="203">
        <f t="shared" ref="J35" si="39">SUM(J30:J34)</f>
        <v>0</v>
      </c>
      <c r="K35" s="203">
        <f t="shared" ref="K35" si="40">SUM(K30:K34)</f>
        <v>0</v>
      </c>
      <c r="L35" s="203">
        <f t="shared" ref="L35" si="41">SUM(L30:L34)</f>
        <v>-0.40779694999999999</v>
      </c>
      <c r="M35" s="203">
        <f t="shared" ref="M35" si="42">SUM(M30:M34)</f>
        <v>0</v>
      </c>
      <c r="N35" s="203">
        <f t="shared" ref="N35" si="43">SUM(N30:N34)</f>
        <v>-0.40779694999999999</v>
      </c>
      <c r="O35" s="203">
        <f t="shared" ref="O35" si="44">SUM(O30:O34)</f>
        <v>-0.40779694999999999</v>
      </c>
      <c r="V35" s="85"/>
    </row>
    <row r="36" spans="1:33" ht="10.5">
      <c r="C36" s="205" t="str">
        <f>$C$18</f>
        <v>Capex Personnel</v>
      </c>
      <c r="D36" s="127" t="str">
        <f t="shared" ref="D36:D40" si="45">$D$7</f>
        <v>NTESMO</v>
      </c>
      <c r="E36" s="127" t="str">
        <f t="shared" si="9"/>
        <v>$millions</v>
      </c>
      <c r="F36" s="146" t="str">
        <f t="shared" si="10"/>
        <v>as at 31 Dec 2022</v>
      </c>
      <c r="G36" s="8" t="str">
        <f>$C$10</f>
        <v>Expensed Corporate Overheads</v>
      </c>
      <c r="H36" s="201">
        <v>0</v>
      </c>
      <c r="I36" s="201">
        <v>0</v>
      </c>
      <c r="J36" s="202">
        <f>SUM(H36:I36)</f>
        <v>0</v>
      </c>
      <c r="K36" s="201">
        <v>0</v>
      </c>
      <c r="L36" s="201">
        <v>0</v>
      </c>
      <c r="M36" s="201">
        <v>0</v>
      </c>
      <c r="N36" s="202">
        <f>SUM(K36:M36)</f>
        <v>0</v>
      </c>
      <c r="O36" s="202">
        <f>J36+N36</f>
        <v>0</v>
      </c>
      <c r="V36" s="85"/>
    </row>
    <row r="37" spans="1:33" ht="10.5">
      <c r="C37" s="205" t="str">
        <f>$C$19</f>
        <v>Back-pay Journal</v>
      </c>
      <c r="D37" s="127" t="str">
        <f t="shared" si="45"/>
        <v>NTESMO</v>
      </c>
      <c r="E37" s="127" t="str">
        <f t="shared" si="9"/>
        <v>$millions</v>
      </c>
      <c r="F37" s="146" t="str">
        <f t="shared" si="10"/>
        <v>as at 31 Dec 2022</v>
      </c>
      <c r="G37" s="8" t="str">
        <f t="shared" ref="G37:G40" si="46">$C$10</f>
        <v>Expensed Corporate Overheads</v>
      </c>
      <c r="H37" s="201">
        <v>0</v>
      </c>
      <c r="I37" s="201">
        <v>0</v>
      </c>
      <c r="J37" s="202">
        <f t="shared" ref="J37:J40" si="47">SUM(H37:I37)</f>
        <v>0</v>
      </c>
      <c r="K37" s="201">
        <v>0</v>
      </c>
      <c r="L37" s="201">
        <v>0</v>
      </c>
      <c r="M37" s="201">
        <v>0</v>
      </c>
      <c r="N37" s="202">
        <f t="shared" ref="N37:N40" si="48">SUM(K37:M37)</f>
        <v>0</v>
      </c>
      <c r="O37" s="202">
        <f>J37+N37</f>
        <v>0</v>
      </c>
      <c r="V37" s="85"/>
    </row>
    <row r="38" spans="1:33" ht="10.5">
      <c r="C38" s="205" t="str">
        <f>$C$20</f>
        <v>Adjustments for one-off expenditure</v>
      </c>
      <c r="D38" s="127" t="str">
        <f t="shared" si="45"/>
        <v>NTESMO</v>
      </c>
      <c r="E38" s="127" t="str">
        <f t="shared" si="9"/>
        <v>$millions</v>
      </c>
      <c r="F38" s="146" t="str">
        <f t="shared" si="10"/>
        <v>as at 31 Dec 2022</v>
      </c>
      <c r="G38" s="8" t="str">
        <f t="shared" si="46"/>
        <v>Expensed Corporate Overheads</v>
      </c>
      <c r="H38" s="201">
        <v>0</v>
      </c>
      <c r="I38" s="201">
        <v>0</v>
      </c>
      <c r="J38" s="202">
        <f t="shared" si="47"/>
        <v>0</v>
      </c>
      <c r="K38" s="201">
        <v>0</v>
      </c>
      <c r="L38" s="201">
        <v>0</v>
      </c>
      <c r="M38" s="201">
        <v>0</v>
      </c>
      <c r="N38" s="202">
        <f t="shared" si="48"/>
        <v>0</v>
      </c>
      <c r="O38" s="202">
        <f>J38+N38</f>
        <v>0</v>
      </c>
      <c r="V38" s="85"/>
    </row>
    <row r="39" spans="1:33" ht="10.5">
      <c r="C39" s="205" t="str">
        <f>$C$21</f>
        <v>Personnel Activity Reallocation</v>
      </c>
      <c r="D39" s="127" t="str">
        <f t="shared" si="45"/>
        <v>NTESMO</v>
      </c>
      <c r="E39" s="127" t="str">
        <f t="shared" si="9"/>
        <v>$millions</v>
      </c>
      <c r="F39" s="146" t="str">
        <f t="shared" si="10"/>
        <v>as at 31 Dec 2022</v>
      </c>
      <c r="G39" s="8" t="str">
        <f t="shared" si="46"/>
        <v>Expensed Corporate Overheads</v>
      </c>
      <c r="H39" s="201">
        <v>0</v>
      </c>
      <c r="I39" s="201">
        <v>0</v>
      </c>
      <c r="J39" s="202">
        <f t="shared" si="47"/>
        <v>0</v>
      </c>
      <c r="K39" s="201">
        <v>0</v>
      </c>
      <c r="L39" s="201">
        <v>0</v>
      </c>
      <c r="M39" s="201">
        <v>0</v>
      </c>
      <c r="N39" s="202">
        <f t="shared" si="48"/>
        <v>0</v>
      </c>
      <c r="O39" s="202">
        <f>J39+N39</f>
        <v>0</v>
      </c>
      <c r="V39" s="85"/>
    </row>
    <row r="40" spans="1:33" ht="10.5">
      <c r="C40" s="205" t="str">
        <f>$C$22</f>
        <v>Removal of Corporate Overheads</v>
      </c>
      <c r="D40" s="127" t="str">
        <f t="shared" si="45"/>
        <v>NTESMO</v>
      </c>
      <c r="E40" s="127" t="str">
        <f t="shared" si="9"/>
        <v>$millions</v>
      </c>
      <c r="F40" s="146" t="str">
        <f t="shared" si="10"/>
        <v>as at 31 Dec 2022</v>
      </c>
      <c r="G40" s="8" t="str">
        <f t="shared" si="46"/>
        <v>Expensed Corporate Overheads</v>
      </c>
      <c r="H40" s="201">
        <v>-0.33902010403782679</v>
      </c>
      <c r="I40" s="201">
        <v>-0.21958075551830808</v>
      </c>
      <c r="J40" s="202">
        <f t="shared" si="47"/>
        <v>-0.55860085955613492</v>
      </c>
      <c r="K40" s="201">
        <v>-0.79351618719179751</v>
      </c>
      <c r="L40" s="201">
        <v>-0.36483441343316958</v>
      </c>
      <c r="M40" s="201">
        <v>-1.7812827316998754</v>
      </c>
      <c r="N40" s="202">
        <f t="shared" si="48"/>
        <v>-2.9396333323248425</v>
      </c>
      <c r="O40" s="202">
        <f>J40+N40</f>
        <v>-3.4982341918809774</v>
      </c>
      <c r="V40" s="85"/>
    </row>
    <row r="41" spans="1:33" ht="10.5">
      <c r="C41" s="198" t="str">
        <f>$C$23</f>
        <v>Sub Total</v>
      </c>
      <c r="D41" s="128" t="s">
        <v>68</v>
      </c>
      <c r="E41" s="128" t="str">
        <f t="shared" si="9"/>
        <v>$millions</v>
      </c>
      <c r="F41" s="199" t="str">
        <f t="shared" si="10"/>
        <v>as at 31 Dec 2022</v>
      </c>
      <c r="G41" s="8" t="s">
        <v>99</v>
      </c>
      <c r="H41" s="203">
        <f>SUM(H36:H40)</f>
        <v>-0.33902010403782679</v>
      </c>
      <c r="I41" s="203">
        <f t="shared" ref="I41:O41" si="49">SUM(I36:I40)</f>
        <v>-0.21958075551830808</v>
      </c>
      <c r="J41" s="203">
        <f t="shared" si="49"/>
        <v>-0.55860085955613492</v>
      </c>
      <c r="K41" s="203">
        <f t="shared" si="49"/>
        <v>-0.79351618719179751</v>
      </c>
      <c r="L41" s="203">
        <f t="shared" si="49"/>
        <v>-0.36483441343316958</v>
      </c>
      <c r="M41" s="203">
        <f t="shared" si="49"/>
        <v>-1.7812827316998754</v>
      </c>
      <c r="N41" s="203">
        <f t="shared" si="49"/>
        <v>-2.9396333323248425</v>
      </c>
      <c r="O41" s="203">
        <f t="shared" si="49"/>
        <v>-3.4982341918809774</v>
      </c>
      <c r="V41" s="85"/>
    </row>
    <row r="42" spans="1:33" ht="10.5">
      <c r="C42" s="198" t="s">
        <v>100</v>
      </c>
      <c r="D42" s="128" t="s">
        <v>68</v>
      </c>
      <c r="E42" s="128" t="str">
        <f t="shared" si="9"/>
        <v>$millions</v>
      </c>
      <c r="F42" s="199" t="str">
        <f t="shared" si="10"/>
        <v>as at 31 Dec 2022</v>
      </c>
      <c r="G42" s="8" t="s">
        <v>99</v>
      </c>
      <c r="H42" s="203">
        <f>H23+H29+H35+H41</f>
        <v>-0.34985199796782679</v>
      </c>
      <c r="I42" s="203">
        <f t="shared" ref="I42:O42" si="50">I23+I29+I35+I41</f>
        <v>-0.22526458067030808</v>
      </c>
      <c r="J42" s="203">
        <f t="shared" si="50"/>
        <v>-0.57511657863813492</v>
      </c>
      <c r="K42" s="203">
        <f t="shared" si="50"/>
        <v>-0.84270507106979753</v>
      </c>
      <c r="L42" s="203">
        <f t="shared" si="50"/>
        <v>-0.94824167139616955</v>
      </c>
      <c r="M42" s="203">
        <f t="shared" si="50"/>
        <v>-1.9094303498058753</v>
      </c>
      <c r="N42" s="203">
        <f t="shared" si="50"/>
        <v>-3.7003770922718422</v>
      </c>
      <c r="O42" s="203">
        <f t="shared" si="50"/>
        <v>-4.2754936709099773</v>
      </c>
      <c r="V42" s="85"/>
    </row>
    <row r="43" spans="1:33" ht="10.5">
      <c r="F43" s="8"/>
      <c r="G43" s="8"/>
      <c r="H43" s="8"/>
      <c r="I43" s="8"/>
      <c r="J43" s="8"/>
      <c r="K43" s="8"/>
      <c r="L43" s="8"/>
      <c r="V43" s="85"/>
    </row>
    <row r="44" spans="1:33" customFormat="1" ht="12.3">
      <c r="A44" s="34"/>
      <c r="B44" s="40" t="s">
        <v>101</v>
      </c>
      <c r="C44" s="34"/>
      <c r="D44" s="34"/>
      <c r="E44" s="34"/>
      <c r="F44" s="34"/>
      <c r="G44" s="34"/>
      <c r="H44" s="34"/>
      <c r="I44" s="35"/>
      <c r="J44" s="35"/>
      <c r="K44" s="35"/>
      <c r="L44" s="35"/>
      <c r="M44" s="36"/>
      <c r="N44" s="37"/>
      <c r="O44" s="36"/>
      <c r="P44" s="37"/>
      <c r="Q44" s="36"/>
      <c r="R44" s="36"/>
      <c r="S44" s="36"/>
      <c r="T44" s="36"/>
      <c r="U44" s="36"/>
      <c r="V44" s="36"/>
      <c r="W44" s="36"/>
      <c r="X44" s="36"/>
      <c r="Y44" s="37"/>
      <c r="Z44" s="37"/>
      <c r="AA44" s="38"/>
      <c r="AB44" s="38"/>
      <c r="AC44" s="38"/>
      <c r="AD44" s="38"/>
      <c r="AE44" s="38"/>
      <c r="AF44" s="39"/>
      <c r="AG44" s="39"/>
    </row>
    <row r="45" spans="1:33" ht="10.5">
      <c r="F45" s="8"/>
      <c r="G45" s="8"/>
      <c r="H45" s="8"/>
      <c r="I45" s="8"/>
      <c r="J45" s="8"/>
      <c r="K45" s="8"/>
      <c r="L45" s="8"/>
      <c r="V45" s="85"/>
    </row>
    <row r="46" spans="1:33" ht="30.9">
      <c r="C46" s="9" t="str">
        <f t="shared" ref="C46:F46" si="51">C6</f>
        <v>Cost category</v>
      </c>
      <c r="D46" s="128" t="str">
        <f t="shared" si="51"/>
        <v>Source</v>
      </c>
      <c r="E46" s="128" t="str">
        <f t="shared" si="51"/>
        <v>Unit</v>
      </c>
      <c r="F46" s="128" t="str">
        <f t="shared" si="51"/>
        <v>Basis</v>
      </c>
      <c r="G46" s="9"/>
      <c r="H46" s="53" t="str">
        <f>H6</f>
        <v>Market Operations (MO)</v>
      </c>
      <c r="I46" s="53" t="str">
        <f t="shared" ref="I46:O46" si="52">I6</f>
        <v>NTEM Development (MO)</v>
      </c>
      <c r="J46" s="49" t="str">
        <f t="shared" si="52"/>
        <v>Market Operator</v>
      </c>
      <c r="K46" s="53" t="str">
        <f t="shared" si="52"/>
        <v>Operations Planning (SC)</v>
      </c>
      <c r="L46" s="53" t="str">
        <f t="shared" si="52"/>
        <v>Power System Evolution (SC)</v>
      </c>
      <c r="M46" s="53" t="str">
        <f t="shared" si="52"/>
        <v>Real Time Operations (SC)</v>
      </c>
      <c r="N46" s="49" t="str">
        <f t="shared" si="52"/>
        <v>System Control</v>
      </c>
      <c r="O46" s="49" t="str">
        <f t="shared" si="52"/>
        <v>Total NTESMO</v>
      </c>
      <c r="Q46" s="49" t="str">
        <f>H46</f>
        <v>Market Operations (MO)</v>
      </c>
      <c r="R46" s="49" t="str">
        <f>I46</f>
        <v>NTEM Development (MO)</v>
      </c>
      <c r="S46" s="49" t="str">
        <f>K46</f>
        <v>Operations Planning (SC)</v>
      </c>
      <c r="T46" s="49" t="str">
        <f t="shared" ref="T46:U46" si="53">L46</f>
        <v>Power System Evolution (SC)</v>
      </c>
      <c r="U46" s="49" t="str">
        <f t="shared" si="53"/>
        <v>Real Time Operations (SC)</v>
      </c>
      <c r="V46" s="85"/>
    </row>
    <row r="47" spans="1:33" ht="10.5">
      <c r="C47" s="200" t="str">
        <f>C7</f>
        <v>Personnel Costs</v>
      </c>
      <c r="D47" s="127" t="s">
        <v>68</v>
      </c>
      <c r="E47" s="127" t="str">
        <f>units</f>
        <v>$millions</v>
      </c>
      <c r="F47" s="146" t="str">
        <f>$F$7</f>
        <v>as at 31 Dec 2022</v>
      </c>
      <c r="G47" s="8"/>
      <c r="H47" s="202">
        <f>H7+SUMIF($G$18:$G$42,$C47,H$18:H$42)</f>
        <v>0.87097946873335341</v>
      </c>
      <c r="I47" s="202">
        <f>I7+SUMIF($G$18:$G$42,$C47,I$18:I$42)</f>
        <v>0.54848915151556799</v>
      </c>
      <c r="J47" s="202">
        <f>SUM(H47:I47)</f>
        <v>1.4194686202489213</v>
      </c>
      <c r="K47" s="202">
        <f>K7+SUMIF($G$18:$G$42,$C47,K$18:K$42)</f>
        <v>1.9724285143470832</v>
      </c>
      <c r="L47" s="202">
        <f t="shared" ref="L47:M47" si="54">L7+SUMIF($G$18:$G$42,$C47,L$18:L$42)</f>
        <v>0.22023475412245649</v>
      </c>
      <c r="M47" s="202">
        <f t="shared" si="54"/>
        <v>5.1458186529460246</v>
      </c>
      <c r="N47" s="202">
        <f>SUM(K47:M47)</f>
        <v>7.3384819214155641</v>
      </c>
      <c r="O47" s="202">
        <f>J47+N47</f>
        <v>8.7579505416644849</v>
      </c>
      <c r="Q47" s="75">
        <f>IF($O$51=0,0,H47/$O$51)</f>
        <v>8.9383719722663749E-2</v>
      </c>
      <c r="R47" s="75">
        <f>IF($O$51=0,0,I47/$O$51)</f>
        <v>5.6288353916409337E-2</v>
      </c>
      <c r="S47" s="75">
        <f>IF($O$51=0,0,K47/$O$51)</f>
        <v>0.20241923469881945</v>
      </c>
      <c r="T47" s="75">
        <f>IF($O$51=0,0,L47/$O$51)</f>
        <v>2.2601453010481946E-2</v>
      </c>
      <c r="U47" s="75">
        <f>IF($O$51=0,0,M47/$O$51)</f>
        <v>0.52808640011627528</v>
      </c>
      <c r="V47" s="85"/>
    </row>
    <row r="48" spans="1:33" ht="10.5">
      <c r="C48" s="200" t="str">
        <f>C8</f>
        <v>Professional Fees</v>
      </c>
      <c r="D48" s="127" t="s">
        <v>68</v>
      </c>
      <c r="E48" s="127" t="str">
        <f>units</f>
        <v>$millions</v>
      </c>
      <c r="F48" s="146" t="str">
        <f t="shared" ref="F48:F51" si="55">$F$7</f>
        <v>as at 31 Dec 2022</v>
      </c>
      <c r="G48" s="8"/>
      <c r="H48" s="202">
        <f t="shared" ref="H48" si="56">H8+SUMIF($G$18:$G$42,$C48,H$18:H$42)</f>
        <v>5.4545499999999998E-3</v>
      </c>
      <c r="I48" s="202">
        <f>I8+SUMIF($G$18:$G$42,$C48,I$18:I$42)</f>
        <v>0</v>
      </c>
      <c r="J48" s="202">
        <f t="shared" ref="J48:J50" si="57">SUM(H48:I48)</f>
        <v>5.4545499999999998E-3</v>
      </c>
      <c r="K48" s="202">
        <f>K8+SUMIF($G$18:$G$42,$C48,K$18:K$42)</f>
        <v>0.34690164000000001</v>
      </c>
      <c r="L48" s="202">
        <f t="shared" ref="L48:M48" si="58">L8+SUMIF($G$18:$G$42,$C48,L$18:L$42)</f>
        <v>0.1861192199999997</v>
      </c>
      <c r="M48" s="202">
        <f t="shared" si="58"/>
        <v>6.9977999999999999E-2</v>
      </c>
      <c r="N48" s="202">
        <f t="shared" ref="N48:N50" si="59">SUM(K48:M48)</f>
        <v>0.60299885999999969</v>
      </c>
      <c r="O48" s="202">
        <f>J48+N48</f>
        <v>0.60845340999999964</v>
      </c>
      <c r="Q48" s="75">
        <f t="shared" ref="Q48:R51" si="60">IF($O$51=0,0,H48/$O$51)</f>
        <v>5.597697602703379E-4</v>
      </c>
      <c r="R48" s="75">
        <f t="shared" si="60"/>
        <v>0</v>
      </c>
      <c r="S48" s="75">
        <f t="shared" ref="S48:U51" si="61">IF($O$51=0,0,K48/$O$51)</f>
        <v>3.56005624405656E-2</v>
      </c>
      <c r="T48" s="75">
        <f t="shared" si="61"/>
        <v>1.9100367795895558E-2</v>
      </c>
      <c r="U48" s="75">
        <f t="shared" si="61"/>
        <v>7.1814482008960793E-3</v>
      </c>
      <c r="V48" s="85"/>
    </row>
    <row r="49" spans="1:50" ht="10.5">
      <c r="C49" s="200" t="str">
        <f>C9</f>
        <v>Residual Costs</v>
      </c>
      <c r="D49" s="127" t="s">
        <v>68</v>
      </c>
      <c r="E49" s="127" t="str">
        <f>units</f>
        <v>$millions</v>
      </c>
      <c r="F49" s="146" t="str">
        <f t="shared" si="55"/>
        <v>as at 31 Dec 2022</v>
      </c>
      <c r="G49" s="8"/>
      <c r="H49" s="202">
        <f t="shared" ref="H49" si="62">H9+SUMIF($G$18:$G$42,$C49,H$18:H$42)</f>
        <v>1.1006E-3</v>
      </c>
      <c r="I49" s="202">
        <f>I9+SUMIF($G$18:$G$42,$C49,I$18:I$42)</f>
        <v>2.1215289999999998E-2</v>
      </c>
      <c r="J49" s="202">
        <f t="shared" si="57"/>
        <v>2.2315889999999998E-2</v>
      </c>
      <c r="K49" s="202">
        <f>K9+SUMIF($G$18:$G$42,$C49,K$18:K$42)</f>
        <v>7.6511793062985514E-2</v>
      </c>
      <c r="L49" s="202">
        <f t="shared" ref="L49:M49" si="63">L9+SUMIF($G$18:$G$42,$C49,L$18:L$42)</f>
        <v>0.13438897878275408</v>
      </c>
      <c r="M49" s="202">
        <f t="shared" si="63"/>
        <v>0.14465352763979708</v>
      </c>
      <c r="N49" s="202">
        <f t="shared" si="59"/>
        <v>0.35555429948553663</v>
      </c>
      <c r="O49" s="202">
        <f>J49+N49</f>
        <v>0.37787018948553663</v>
      </c>
      <c r="Q49" s="75">
        <f t="shared" si="60"/>
        <v>1.1294838220449604E-4</v>
      </c>
      <c r="R49" s="75">
        <f t="shared" si="60"/>
        <v>2.1772057818455594E-3</v>
      </c>
      <c r="S49" s="75">
        <f t="shared" si="61"/>
        <v>7.8519746011533678E-3</v>
      </c>
      <c r="T49" s="75">
        <f t="shared" si="61"/>
        <v>1.3791584353649298E-2</v>
      </c>
      <c r="U49" s="75">
        <f t="shared" si="61"/>
        <v>1.4844977218870101E-2</v>
      </c>
      <c r="V49" s="85"/>
    </row>
    <row r="50" spans="1:50" ht="10.5">
      <c r="C50" s="200" t="str">
        <f>C10</f>
        <v>Expensed Corporate Overheads</v>
      </c>
      <c r="D50" s="127" t="s">
        <v>68</v>
      </c>
      <c r="E50" s="127" t="str">
        <f>units</f>
        <v>$millions</v>
      </c>
      <c r="F50" s="146" t="str">
        <f t="shared" si="55"/>
        <v>as at 31 Dec 2022</v>
      </c>
      <c r="G50" s="8"/>
      <c r="H50" s="202">
        <f t="shared" ref="H50" si="64">H10+SUMIF($G$18:$G$42,$C50,H$18:H$42)</f>
        <v>0</v>
      </c>
      <c r="I50" s="202">
        <f>I10+SUMIF($G$18:$G$42,$C50,I$18:I$42)</f>
        <v>0</v>
      </c>
      <c r="J50" s="202">
        <f t="shared" si="57"/>
        <v>0</v>
      </c>
      <c r="K50" s="202">
        <f>K10+SUMIF($G$18:$G$42,$C50,K$18:K$42)</f>
        <v>0</v>
      </c>
      <c r="L50" s="202">
        <f t="shared" ref="L50:M50" si="65">L10+SUMIF($G$18:$G$42,$C50,L$18:L$42)</f>
        <v>0</v>
      </c>
      <c r="M50" s="202">
        <f t="shared" si="65"/>
        <v>0</v>
      </c>
      <c r="N50" s="202">
        <f t="shared" si="59"/>
        <v>0</v>
      </c>
      <c r="O50" s="202">
        <f>J50+N50</f>
        <v>0</v>
      </c>
      <c r="Q50" s="75">
        <f t="shared" si="60"/>
        <v>0</v>
      </c>
      <c r="R50" s="75">
        <f t="shared" si="60"/>
        <v>0</v>
      </c>
      <c r="S50" s="75">
        <f t="shared" si="61"/>
        <v>0</v>
      </c>
      <c r="T50" s="75">
        <f t="shared" si="61"/>
        <v>0</v>
      </c>
      <c r="U50" s="75">
        <f t="shared" si="61"/>
        <v>0</v>
      </c>
      <c r="V50" s="85"/>
    </row>
    <row r="51" spans="1:50" ht="10.5">
      <c r="C51" s="198" t="str">
        <f>C11</f>
        <v>Total</v>
      </c>
      <c r="D51" s="128" t="s">
        <v>68</v>
      </c>
      <c r="E51" s="128" t="str">
        <f>units</f>
        <v>$millions</v>
      </c>
      <c r="F51" s="199" t="str">
        <f t="shared" si="55"/>
        <v>as at 31 Dec 2022</v>
      </c>
      <c r="G51" s="8"/>
      <c r="H51" s="203">
        <f t="shared" ref="H51" si="66">SUM(H47:H50)</f>
        <v>0.87753461873335337</v>
      </c>
      <c r="I51" s="203">
        <f t="shared" ref="I51" si="67">SUM(I47:I50)</f>
        <v>0.56970444151556798</v>
      </c>
      <c r="J51" s="203">
        <f>SUM(J47:J50)</f>
        <v>1.4472390602489213</v>
      </c>
      <c r="K51" s="203">
        <f t="shared" ref="K51" si="68">SUM(K47:K50)</f>
        <v>2.395841947410069</v>
      </c>
      <c r="L51" s="203">
        <f t="shared" ref="L51" si="69">SUM(L47:L50)</f>
        <v>0.54074295290521035</v>
      </c>
      <c r="M51" s="203">
        <f t="shared" ref="M51" si="70">SUM(M47:M50)</f>
        <v>5.3604501805858211</v>
      </c>
      <c r="N51" s="203">
        <f>SUM(N47:N50)</f>
        <v>8.2970350809011002</v>
      </c>
      <c r="O51" s="203">
        <f>SUM(O47:O50)</f>
        <v>9.7442741411500204</v>
      </c>
      <c r="Q51" s="75">
        <f t="shared" si="60"/>
        <v>9.0056437865138575E-2</v>
      </c>
      <c r="R51" s="75">
        <f t="shared" si="60"/>
        <v>5.8465559698254899E-2</v>
      </c>
      <c r="S51" s="75">
        <f t="shared" si="61"/>
        <v>0.24587177174053843</v>
      </c>
      <c r="T51" s="75">
        <f t="shared" si="61"/>
        <v>5.5493405160026807E-2</v>
      </c>
      <c r="U51" s="75">
        <f t="shared" si="61"/>
        <v>0.55011282553604146</v>
      </c>
      <c r="V51" s="85"/>
    </row>
    <row r="52" spans="1:50" ht="10.5">
      <c r="F52" s="8"/>
      <c r="G52" s="8"/>
      <c r="H52" s="8"/>
      <c r="I52" s="8"/>
      <c r="J52" s="8"/>
      <c r="K52" s="8"/>
      <c r="L52" s="8"/>
      <c r="V52" s="85"/>
    </row>
    <row r="53" spans="1:50" ht="10.5">
      <c r="C53" s="197" t="s">
        <v>102</v>
      </c>
      <c r="E53" s="8"/>
      <c r="F53" s="8"/>
      <c r="G53" s="8"/>
      <c r="J53" s="75">
        <f>IF($O$51=0,0,J51/$O$51)</f>
        <v>0.14852199756339346</v>
      </c>
      <c r="K53" s="8"/>
      <c r="L53" s="8"/>
      <c r="N53" s="75">
        <f>IF($O$51=0,0,N51/$O$51)</f>
        <v>0.85147800243660665</v>
      </c>
      <c r="V53" s="85"/>
    </row>
    <row r="54" spans="1:50" ht="10.5">
      <c r="C54" s="197"/>
      <c r="E54" s="8"/>
      <c r="F54" s="8"/>
      <c r="G54" s="8"/>
      <c r="J54" s="75"/>
      <c r="K54" s="8"/>
      <c r="L54" s="8"/>
      <c r="N54" s="75"/>
      <c r="V54" s="85"/>
    </row>
    <row r="55" spans="1:50" ht="10.5">
      <c r="C55" s="209" t="s">
        <v>103</v>
      </c>
      <c r="E55" s="8"/>
      <c r="F55" s="8"/>
      <c r="G55" s="8"/>
      <c r="J55" s="75"/>
      <c r="K55" s="8"/>
      <c r="L55" s="8"/>
      <c r="O55" s="203">
        <f>O51*'Input|Rate of change'!$N$31</f>
        <v>10.41635356663553</v>
      </c>
      <c r="V55" s="85"/>
    </row>
    <row r="56" spans="1:50" ht="10.5">
      <c r="F56" s="8"/>
      <c r="G56" s="8"/>
      <c r="H56" s="8"/>
      <c r="I56" s="8"/>
      <c r="J56" s="8"/>
      <c r="K56" s="8"/>
      <c r="L56" s="8"/>
      <c r="V56" s="85"/>
    </row>
    <row r="57" spans="1:50" customFormat="1" ht="12.3">
      <c r="A57" s="34"/>
      <c r="B57" s="40" t="s">
        <v>37</v>
      </c>
      <c r="C57" s="34"/>
      <c r="D57" s="34"/>
      <c r="E57" s="34"/>
      <c r="F57" s="34"/>
      <c r="G57" s="34"/>
      <c r="H57" s="34"/>
      <c r="I57" s="35"/>
      <c r="J57" s="35"/>
      <c r="K57" s="35"/>
      <c r="L57" s="35"/>
      <c r="M57" s="36"/>
      <c r="N57" s="37"/>
      <c r="O57" s="36"/>
      <c r="P57" s="37"/>
      <c r="Q57" s="36"/>
      <c r="R57" s="36"/>
      <c r="S57" s="36"/>
      <c r="T57" s="36"/>
      <c r="U57" s="36"/>
      <c r="V57" s="36"/>
      <c r="W57" s="36"/>
      <c r="X57" s="36"/>
      <c r="Y57" s="37"/>
      <c r="Z57" s="37"/>
      <c r="AA57" s="38"/>
      <c r="AB57" s="38"/>
      <c r="AC57" s="38"/>
      <c r="AD57" s="38"/>
      <c r="AE57" s="38"/>
      <c r="AF57" s="39"/>
      <c r="AG57" s="39"/>
    </row>
    <row r="58" spans="1:50" ht="10.199999999999999" hidden="1">
      <c r="J58" s="21"/>
      <c r="K58" s="21"/>
    </row>
    <row r="59" spans="1:50" ht="10.199999999999999" hidden="1">
      <c r="J59" s="21"/>
      <c r="K59" s="21"/>
    </row>
    <row r="60" spans="1:50" s="16" customFormat="1" ht="10.199999999999999" hidden="1">
      <c r="A60" s="8"/>
      <c r="B60" s="8"/>
      <c r="C60" s="8"/>
      <c r="J60" s="21"/>
      <c r="K60" s="21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</row>
    <row r="61" spans="1:50" s="16" customFormat="1" ht="10.199999999999999" hidden="1">
      <c r="A61" s="8"/>
      <c r="B61" s="8"/>
      <c r="C61" s="8"/>
      <c r="J61" s="21"/>
      <c r="K61" s="21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</row>
    <row r="62" spans="1:50" s="16" customFormat="1" ht="10.199999999999999" hidden="1">
      <c r="A62" s="8"/>
      <c r="B62" s="8"/>
      <c r="C62" s="8"/>
      <c r="J62" s="21"/>
      <c r="K62" s="21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</row>
    <row r="63" spans="1:50" s="16" customFormat="1" ht="10.199999999999999" hidden="1">
      <c r="A63" s="8"/>
      <c r="B63" s="8"/>
      <c r="C63" s="8"/>
      <c r="J63" s="21"/>
      <c r="K63" s="21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</row>
    <row r="64" spans="1:50" s="16" customFormat="1" ht="10.199999999999999" hidden="1">
      <c r="A64" s="8"/>
      <c r="B64" s="8"/>
      <c r="C64" s="8"/>
      <c r="J64" s="21"/>
      <c r="K64" s="21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</row>
    <row r="65" spans="1:50" s="16" customFormat="1" ht="10.199999999999999" hidden="1">
      <c r="A65" s="8"/>
      <c r="B65" s="8"/>
      <c r="C65" s="8"/>
      <c r="J65" s="21"/>
      <c r="K65" s="21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</row>
    <row r="66" spans="1:50" s="16" customFormat="1" ht="10.199999999999999" hidden="1">
      <c r="A66" s="8"/>
      <c r="B66" s="8"/>
      <c r="C66" s="8"/>
      <c r="J66" s="21"/>
      <c r="K66" s="21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</row>
    <row r="67" spans="1:50" s="16" customFormat="1" ht="10.199999999999999" hidden="1">
      <c r="A67" s="8"/>
      <c r="B67" s="8"/>
      <c r="C67" s="8"/>
      <c r="J67" s="21"/>
      <c r="K67" s="21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</row>
  </sheetData>
  <conditionalFormatting sqref="V1 V7:V14 Z11:Z14 V16:V43 Z16:Z43 V45:V56 Z45:Z56">
    <cfRule type="cellIs" dxfId="141" priority="4" operator="equal">
      <formula>"Check"</formula>
    </cfRule>
    <cfRule type="cellIs" dxfId="140" priority="5" operator="equal">
      <formula>"Ok"</formula>
    </cfRule>
  </conditionalFormatting>
  <conditionalFormatting sqref="Y1">
    <cfRule type="cellIs" dxfId="139" priority="6" operator="equal">
      <formula>"Check"</formula>
    </cfRule>
    <cfRule type="cellIs" dxfId="138" priority="7" operator="equal">
      <formula>"Ok"</formula>
    </cfRule>
  </conditionalFormatting>
  <dataValidations count="2">
    <dataValidation type="list" allowBlank="1" showInputMessage="1" showErrorMessage="1" sqref="I14 M12:M13 I16 I43 I45 I52 I56 M53:M55" xr:uid="{342157AF-5828-40E5-91CE-637D2FD1D6AF}">
      <formula1>"Real 2010,Real 2011,Real 2012,Real 2013,Real 2014,Real 2015,Nominal"</formula1>
    </dataValidation>
    <dataValidation type="list" allowBlank="1" showInputMessage="1" showErrorMessage="1" sqref="L14 L16 L43 L45 L52 L56" xr:uid="{32FBEFD2-8D25-45D6-8461-E204B087B674}">
      <formula1>#REF!</formula1>
    </dataValidation>
  </dataValidations>
  <hyperlinks>
    <hyperlink ref="M1" location="Index!A1" display="Back to Index" xr:uid="{F27685D4-FEF3-43BD-BBFD-0F06218AD7DF}"/>
    <hyperlink ref="X1" location="'Check|List'!A1" display="Overall Check:" xr:uid="{2874EE63-1830-4E5E-B37B-49AC3F381732}"/>
  </hyperlinks>
  <pageMargins left="0.7" right="0.7" top="0.75" bottom="0.75" header="0.3" footer="0.3"/>
  <pageSetup paperSize="9" orientation="portrait" verticalDpi="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Z73"/>
  <sheetViews>
    <sheetView showGridLines="0" zoomScaleNormal="100" workbookViewId="0"/>
  </sheetViews>
  <sheetFormatPr defaultColWidth="0" defaultRowHeight="10.199999999999999" zeroHeight="1" outlineLevelRow="1"/>
  <cols>
    <col min="1" max="2" width="1.6640625" customWidth="1"/>
    <col min="3" max="3" width="49.796875" bestFit="1" customWidth="1"/>
    <col min="4" max="6" width="13.33203125" customWidth="1"/>
    <col min="7" max="9" width="3.33203125" customWidth="1"/>
    <col min="10" max="20" width="10.796875" customWidth="1"/>
    <col min="21" max="21" width="42.33203125" bestFit="1" customWidth="1"/>
    <col min="22" max="22" width="10.796875" customWidth="1"/>
    <col min="23" max="26" width="0" hidden="1" customWidth="1"/>
    <col min="27" max="16384" width="9.33203125" hidden="1"/>
  </cols>
  <sheetData>
    <row r="1" spans="1:22" ht="15">
      <c r="A1" s="29"/>
      <c r="B1" s="26"/>
      <c r="C1" s="26" t="str">
        <f>Index!$B$1</f>
        <v>AER opex model - version: NTESMO 2024-27</v>
      </c>
      <c r="D1" s="26"/>
      <c r="E1" s="26"/>
      <c r="F1" s="27"/>
      <c r="G1" s="27"/>
      <c r="H1" s="27"/>
      <c r="I1" s="27"/>
      <c r="J1" s="121" t="s">
        <v>38</v>
      </c>
      <c r="K1" s="29"/>
      <c r="L1" s="30" t="s">
        <v>39</v>
      </c>
      <c r="M1" s="48" t="s">
        <v>40</v>
      </c>
      <c r="N1" s="11" t="s">
        <v>41</v>
      </c>
      <c r="O1" s="12" t="s">
        <v>42</v>
      </c>
      <c r="P1" s="29"/>
      <c r="Q1" s="29"/>
      <c r="R1" s="30" t="s">
        <v>43</v>
      </c>
      <c r="S1" s="31" t="str">
        <f>IF(COUNTA($V$29:$V$266)=COUNTIF($V$29:$V$266,"OK"),"OK","Check")</f>
        <v>OK</v>
      </c>
      <c r="T1" s="31"/>
      <c r="U1" s="113" t="s">
        <v>44</v>
      </c>
      <c r="V1" s="31" t="str">
        <f>'Check|List'!$S$1</f>
        <v>Ok</v>
      </c>
    </row>
    <row r="2" spans="1:22" ht="12.9" thickBot="1">
      <c r="A2" s="33"/>
      <c r="B2" s="32"/>
      <c r="C2" s="32" t="str">
        <f>Index!$C$10</f>
        <v>Input | Reported opex</v>
      </c>
      <c r="D2" s="32"/>
      <c r="E2" s="32"/>
      <c r="F2" s="55"/>
      <c r="G2" s="55"/>
      <c r="H2" s="55"/>
      <c r="I2" s="55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</row>
    <row r="3" spans="1:22" ht="10.5">
      <c r="A3" s="86"/>
      <c r="B3" s="86"/>
      <c r="C3" s="86"/>
      <c r="D3" s="87"/>
      <c r="E3" s="87"/>
      <c r="F3" s="87"/>
      <c r="G3" s="87"/>
      <c r="H3" s="87"/>
      <c r="I3" s="87"/>
      <c r="J3" s="99" t="s">
        <v>55</v>
      </c>
      <c r="K3" s="98"/>
      <c r="L3" s="98"/>
      <c r="M3" s="98"/>
      <c r="N3" s="98"/>
      <c r="O3" s="98"/>
      <c r="P3" s="98"/>
      <c r="Q3" s="98"/>
      <c r="R3" s="98"/>
      <c r="S3" s="98"/>
      <c r="T3" s="98"/>
      <c r="U3" s="88"/>
      <c r="V3" s="88"/>
    </row>
    <row r="4" spans="1:22">
      <c r="A4" s="58"/>
      <c r="B4" s="58"/>
      <c r="C4" s="58"/>
      <c r="D4" s="59" t="s">
        <v>47</v>
      </c>
      <c r="E4" s="59" t="s">
        <v>70</v>
      </c>
      <c r="F4" s="60" t="s">
        <v>75</v>
      </c>
      <c r="G4" s="61"/>
      <c r="H4" s="61"/>
      <c r="I4" s="61"/>
      <c r="J4" s="97">
        <f>DATE(PPFirstYear,MONTH('Input|General'!$G$9),1)</f>
        <v>43983</v>
      </c>
      <c r="K4" s="97">
        <f>DATE(PPFirstYear+1,MONTH('Input|General'!$G$9),1)</f>
        <v>44348</v>
      </c>
      <c r="L4" s="97">
        <f>DATE(PPFirstYear+2,MONTH('Input|General'!$G$9),1)</f>
        <v>44713</v>
      </c>
      <c r="M4" s="97">
        <f>DATE(PPFirstYear+3,MONTH('Input|General'!$G$9),1)</f>
        <v>45078</v>
      </c>
      <c r="N4" s="97">
        <f>DATE(PPFirstYear+4,MONTH('Input|General'!$G$9),1)</f>
        <v>45444</v>
      </c>
      <c r="O4" s="97">
        <f>DATE(PPFirstYear+5,MONTH('Input|General'!$G$9),1)</f>
        <v>45809</v>
      </c>
      <c r="P4" s="97">
        <f>DATE(PPFirstYear+6,MONTH('Input|General'!$G$9),1)</f>
        <v>46174</v>
      </c>
      <c r="Q4" s="97">
        <f>DATE(PPFirstYear+7,MONTH('Input|General'!$G$9),1)</f>
        <v>46539</v>
      </c>
      <c r="R4" s="97">
        <f>DATE(PPFirstYear+8,MONTH('Input|General'!$G$9),1)</f>
        <v>46905</v>
      </c>
      <c r="S4" s="97">
        <f>DATE(PPFirstYear+9,MONTH('Input|General'!$G$9),1)</f>
        <v>47270</v>
      </c>
      <c r="T4" s="97">
        <f>DATE(PPFirstYear+10,MONTH('Input|General'!$G$9),1)</f>
        <v>47635</v>
      </c>
      <c r="U4" s="62"/>
      <c r="V4" s="63"/>
    </row>
    <row r="5" spans="1:22" ht="5.25" customHeight="1">
      <c r="A5" s="6"/>
      <c r="B5" s="6"/>
      <c r="C5" s="6"/>
      <c r="D5" s="22"/>
      <c r="E5" s="22"/>
      <c r="F5" s="22"/>
      <c r="G5" s="22"/>
      <c r="H5" s="22"/>
      <c r="I5" s="22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2"/>
      <c r="E6" s="22"/>
      <c r="F6" s="22"/>
      <c r="G6" s="22"/>
      <c r="H6" s="22"/>
      <c r="I6" s="22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2"/>
      <c r="E7" s="22"/>
      <c r="F7" s="22"/>
      <c r="G7" s="22"/>
      <c r="H7" s="22"/>
      <c r="I7" s="22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2.3">
      <c r="A8" s="34"/>
      <c r="B8" s="40" t="s">
        <v>104</v>
      </c>
      <c r="C8" s="34"/>
      <c r="D8" s="34"/>
      <c r="E8" s="34"/>
      <c r="F8" s="125"/>
      <c r="G8" s="125"/>
      <c r="H8" s="125"/>
      <c r="I8" s="125"/>
      <c r="J8" s="36"/>
      <c r="K8" s="126"/>
      <c r="L8" s="36"/>
      <c r="M8" s="126"/>
      <c r="N8" s="36"/>
      <c r="O8" s="36"/>
      <c r="P8" s="36"/>
      <c r="Q8" s="36"/>
      <c r="R8" s="36"/>
      <c r="S8" s="36"/>
      <c r="T8" s="36"/>
      <c r="U8" s="36"/>
      <c r="V8" s="37"/>
    </row>
    <row r="9" spans="1:22">
      <c r="A9" s="17"/>
      <c r="B9" s="17"/>
      <c r="C9" s="17"/>
      <c r="D9" s="127"/>
      <c r="E9" s="127"/>
      <c r="F9" s="127"/>
      <c r="G9" s="128"/>
      <c r="H9" s="128"/>
      <c r="I9" s="12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8"/>
    </row>
    <row r="10" spans="1:22" ht="10.5" hidden="1" outlineLevel="1">
      <c r="A10" s="17"/>
      <c r="B10" s="17"/>
      <c r="C10" s="129" t="s">
        <v>74</v>
      </c>
      <c r="D10" s="128" t="s">
        <v>47</v>
      </c>
      <c r="E10" s="128" t="s">
        <v>70</v>
      </c>
      <c r="F10" s="128" t="s">
        <v>75</v>
      </c>
      <c r="G10" s="128"/>
      <c r="H10" s="128"/>
      <c r="I10" s="127"/>
      <c r="J10" s="130">
        <f t="shared" ref="J10:S10" si="0">IF(YEAR(J$4)&lt;=PPLastYear,J$4,"")</f>
        <v>43983</v>
      </c>
      <c r="K10" s="130">
        <f t="shared" si="0"/>
        <v>44348</v>
      </c>
      <c r="L10" s="130">
        <f t="shared" si="0"/>
        <v>44713</v>
      </c>
      <c r="M10" s="130">
        <f t="shared" si="0"/>
        <v>45078</v>
      </c>
      <c r="N10" s="130">
        <f t="shared" si="0"/>
        <v>45444</v>
      </c>
      <c r="O10" s="130" t="str">
        <f t="shared" si="0"/>
        <v/>
      </c>
      <c r="P10" s="130" t="str">
        <f t="shared" si="0"/>
        <v/>
      </c>
      <c r="Q10" s="130" t="str">
        <f t="shared" si="0"/>
        <v/>
      </c>
      <c r="R10" s="130" t="str">
        <f t="shared" si="0"/>
        <v/>
      </c>
      <c r="S10" s="130" t="str">
        <f t="shared" si="0"/>
        <v/>
      </c>
      <c r="T10" s="130"/>
      <c r="U10" s="131" t="s">
        <v>105</v>
      </c>
      <c r="V10" s="8"/>
    </row>
    <row r="11" spans="1:22" ht="10.5" hidden="1" outlineLevel="1">
      <c r="A11" s="17"/>
      <c r="B11" s="17"/>
      <c r="C11" s="132"/>
      <c r="D11" s="127"/>
      <c r="E11" s="127"/>
      <c r="F11" s="127"/>
      <c r="G11" s="128"/>
      <c r="H11" s="128"/>
      <c r="I11" s="127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7"/>
      <c r="V11" s="8"/>
    </row>
    <row r="12" spans="1:22" ht="10.5" hidden="1" outlineLevel="1">
      <c r="A12" s="17"/>
      <c r="B12" s="17"/>
      <c r="C12" s="132"/>
      <c r="D12" s="127"/>
      <c r="E12" s="127"/>
      <c r="F12" s="127"/>
      <c r="G12" s="128"/>
      <c r="H12" s="128"/>
      <c r="I12" s="127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7"/>
      <c r="V12" s="8"/>
    </row>
    <row r="13" spans="1:22" hidden="1" outlineLevel="1">
      <c r="A13" s="17"/>
      <c r="B13" s="17"/>
      <c r="C13" s="134" t="s">
        <v>106</v>
      </c>
      <c r="D13" s="127" t="s">
        <v>53</v>
      </c>
      <c r="E13" s="127" t="str">
        <f>units</f>
        <v>$millions</v>
      </c>
      <c r="F13" s="135">
        <f>DATE(PPFirstYear-1,MONTH(month),1)</f>
        <v>43617</v>
      </c>
      <c r="G13" s="128"/>
      <c r="H13" s="128"/>
      <c r="I13" s="127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70" t="s">
        <v>107</v>
      </c>
      <c r="V13" s="8"/>
    </row>
    <row r="14" spans="1:22" ht="10.5" hidden="1" outlineLevel="1">
      <c r="A14" s="17"/>
      <c r="B14" s="17"/>
      <c r="C14" s="132"/>
      <c r="D14" s="127"/>
      <c r="E14" s="127"/>
      <c r="F14" s="127"/>
      <c r="G14" s="128"/>
      <c r="H14" s="128"/>
      <c r="I14" s="127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7"/>
      <c r="V14" s="8"/>
    </row>
    <row r="15" spans="1:22" ht="10.5" hidden="1" outlineLevel="1">
      <c r="A15" s="17"/>
      <c r="B15" s="17"/>
      <c r="C15" s="137" t="s">
        <v>106</v>
      </c>
      <c r="D15" s="138" t="str">
        <f>D13</f>
        <v>AER</v>
      </c>
      <c r="E15" s="139" t="str">
        <f>E13</f>
        <v>$millions</v>
      </c>
      <c r="F15" s="139">
        <f>$F$13</f>
        <v>43617</v>
      </c>
      <c r="G15" s="128"/>
      <c r="H15" s="128"/>
      <c r="I15" s="127"/>
      <c r="J15" s="140">
        <f>J13</f>
        <v>0</v>
      </c>
      <c r="K15" s="140">
        <f t="shared" ref="K15:S15" si="1">K13</f>
        <v>0</v>
      </c>
      <c r="L15" s="140">
        <f t="shared" si="1"/>
        <v>0</v>
      </c>
      <c r="M15" s="140">
        <f t="shared" si="1"/>
        <v>0</v>
      </c>
      <c r="N15" s="140">
        <f t="shared" si="1"/>
        <v>0</v>
      </c>
      <c r="O15" s="140">
        <f t="shared" si="1"/>
        <v>0</v>
      </c>
      <c r="P15" s="140">
        <f t="shared" si="1"/>
        <v>0</v>
      </c>
      <c r="Q15" s="140">
        <f t="shared" si="1"/>
        <v>0</v>
      </c>
      <c r="R15" s="140">
        <f t="shared" si="1"/>
        <v>0</v>
      </c>
      <c r="S15" s="140">
        <f t="shared" si="1"/>
        <v>0</v>
      </c>
      <c r="T15" s="140"/>
      <c r="U15" s="17"/>
      <c r="V15" s="8"/>
    </row>
    <row r="16" spans="1:22" ht="10.5" hidden="1" outlineLevel="1">
      <c r="A16" s="17"/>
      <c r="B16" s="17"/>
      <c r="C16" s="132"/>
      <c r="D16" s="127"/>
      <c r="E16" s="127"/>
      <c r="F16" s="127"/>
      <c r="G16" s="128"/>
      <c r="H16" s="128"/>
      <c r="I16" s="127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7"/>
      <c r="V16" s="8"/>
    </row>
    <row r="17" spans="1:22" ht="10.5" hidden="1" outlineLevel="1">
      <c r="A17" s="17"/>
      <c r="B17" s="17"/>
      <c r="C17" s="129" t="s">
        <v>108</v>
      </c>
      <c r="D17" s="127"/>
      <c r="E17" s="127"/>
      <c r="F17" s="127"/>
      <c r="G17" s="128"/>
      <c r="H17" s="128"/>
      <c r="I17" s="127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7"/>
      <c r="V17" s="8"/>
    </row>
    <row r="18" spans="1:22" ht="10.5" hidden="1" outlineLevel="1">
      <c r="A18" s="17"/>
      <c r="B18" s="17"/>
      <c r="C18" s="132"/>
      <c r="D18" s="127"/>
      <c r="E18" s="127"/>
      <c r="F18" s="127"/>
      <c r="G18" s="128"/>
      <c r="H18" s="128"/>
      <c r="I18" s="127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7"/>
      <c r="V18" s="8"/>
    </row>
    <row r="19" spans="1:22" hidden="1" outlineLevel="1">
      <c r="A19" s="17"/>
      <c r="B19" s="17"/>
      <c r="C19" s="134" t="s">
        <v>109</v>
      </c>
      <c r="D19" s="127" t="s">
        <v>53</v>
      </c>
      <c r="E19" s="127" t="str">
        <f t="shared" ref="E19:E27" si="2">units</f>
        <v>$millions</v>
      </c>
      <c r="F19" s="141">
        <f>$F$13</f>
        <v>43617</v>
      </c>
      <c r="G19" s="128"/>
      <c r="H19" s="128"/>
      <c r="I19" s="127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70" t="s">
        <v>110</v>
      </c>
      <c r="V19" s="8"/>
    </row>
    <row r="20" spans="1:22" hidden="1" outlineLevel="1">
      <c r="A20" s="17"/>
      <c r="B20" s="17"/>
      <c r="C20" s="134"/>
      <c r="D20" s="127" t="s">
        <v>53</v>
      </c>
      <c r="E20" s="127" t="str">
        <f t="shared" si="2"/>
        <v>$millions</v>
      </c>
      <c r="F20" s="141">
        <f t="shared" ref="F20:F29" si="3">$F$13</f>
        <v>43617</v>
      </c>
      <c r="G20" s="128"/>
      <c r="H20" s="128"/>
      <c r="I20" s="127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7"/>
      <c r="V20" s="8"/>
    </row>
    <row r="21" spans="1:22" hidden="1" outlineLevel="1">
      <c r="A21" s="17"/>
      <c r="B21" s="17"/>
      <c r="C21" s="134"/>
      <c r="D21" s="127" t="s">
        <v>53</v>
      </c>
      <c r="E21" s="127" t="str">
        <f t="shared" si="2"/>
        <v>$millions</v>
      </c>
      <c r="F21" s="141">
        <f t="shared" si="3"/>
        <v>43617</v>
      </c>
      <c r="G21" s="128"/>
      <c r="H21" s="128"/>
      <c r="I21" s="127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7"/>
      <c r="V21" s="8"/>
    </row>
    <row r="22" spans="1:22" hidden="1" outlineLevel="1">
      <c r="A22" s="17"/>
      <c r="B22" s="17"/>
      <c r="C22" s="134"/>
      <c r="D22" s="127" t="s">
        <v>53</v>
      </c>
      <c r="E22" s="127" t="str">
        <f t="shared" si="2"/>
        <v>$millions</v>
      </c>
      <c r="F22" s="141">
        <f t="shared" si="3"/>
        <v>43617</v>
      </c>
      <c r="G22" s="128"/>
      <c r="H22" s="128"/>
      <c r="I22" s="127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7"/>
      <c r="V22" s="8"/>
    </row>
    <row r="23" spans="1:22" hidden="1" outlineLevel="1">
      <c r="A23" s="17"/>
      <c r="B23" s="17"/>
      <c r="C23" s="134"/>
      <c r="D23" s="127" t="s">
        <v>53</v>
      </c>
      <c r="E23" s="127" t="str">
        <f t="shared" si="2"/>
        <v>$millions</v>
      </c>
      <c r="F23" s="141">
        <f t="shared" si="3"/>
        <v>43617</v>
      </c>
      <c r="G23" s="128"/>
      <c r="H23" s="128"/>
      <c r="I23" s="127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7"/>
      <c r="V23" s="8"/>
    </row>
    <row r="24" spans="1:22" hidden="1" outlineLevel="1">
      <c r="A24" s="17"/>
      <c r="B24" s="17"/>
      <c r="C24" s="134"/>
      <c r="D24" s="127" t="s">
        <v>53</v>
      </c>
      <c r="E24" s="127" t="str">
        <f t="shared" si="2"/>
        <v>$millions</v>
      </c>
      <c r="F24" s="141">
        <f t="shared" si="3"/>
        <v>43617</v>
      </c>
      <c r="G24" s="128"/>
      <c r="H24" s="128"/>
      <c r="I24" s="127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7"/>
      <c r="V24" s="8"/>
    </row>
    <row r="25" spans="1:22" hidden="1" outlineLevel="1">
      <c r="A25" s="17"/>
      <c r="B25" s="17"/>
      <c r="C25" s="134"/>
      <c r="D25" s="127" t="s">
        <v>53</v>
      </c>
      <c r="E25" s="127" t="str">
        <f t="shared" si="2"/>
        <v>$millions</v>
      </c>
      <c r="F25" s="141">
        <f t="shared" si="3"/>
        <v>43617</v>
      </c>
      <c r="G25" s="128"/>
      <c r="H25" s="128"/>
      <c r="I25" s="127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7"/>
      <c r="V25" s="8"/>
    </row>
    <row r="26" spans="1:22" hidden="1" outlineLevel="1">
      <c r="A26" s="17"/>
      <c r="B26" s="17"/>
      <c r="C26" s="134"/>
      <c r="D26" s="127" t="s">
        <v>53</v>
      </c>
      <c r="E26" s="127" t="str">
        <f t="shared" si="2"/>
        <v>$millions</v>
      </c>
      <c r="F26" s="141">
        <f t="shared" si="3"/>
        <v>43617</v>
      </c>
      <c r="G26" s="128"/>
      <c r="H26" s="128"/>
      <c r="I26" s="127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7"/>
      <c r="V26" s="8"/>
    </row>
    <row r="27" spans="1:22" hidden="1" outlineLevel="1">
      <c r="A27" s="17"/>
      <c r="B27" s="17"/>
      <c r="C27" s="134"/>
      <c r="D27" s="127" t="s">
        <v>53</v>
      </c>
      <c r="E27" s="127" t="str">
        <f t="shared" si="2"/>
        <v>$millions</v>
      </c>
      <c r="F27" s="141">
        <f t="shared" si="3"/>
        <v>43617</v>
      </c>
      <c r="G27" s="128"/>
      <c r="H27" s="128"/>
      <c r="I27" s="127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7"/>
      <c r="V27" s="8"/>
    </row>
    <row r="28" spans="1:22" ht="10.5" hidden="1" outlineLevel="1">
      <c r="A28" s="17"/>
      <c r="B28" s="17"/>
      <c r="C28" s="132"/>
      <c r="D28" s="127"/>
      <c r="E28" s="127"/>
      <c r="F28" s="127"/>
      <c r="G28" s="128"/>
      <c r="H28" s="128"/>
      <c r="I28" s="127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7"/>
      <c r="V28" s="8"/>
    </row>
    <row r="29" spans="1:22" ht="10.5" hidden="1" outlineLevel="1">
      <c r="A29" s="17"/>
      <c r="B29" s="17"/>
      <c r="C29" s="137" t="s">
        <v>111</v>
      </c>
      <c r="D29" s="138" t="s">
        <v>68</v>
      </c>
      <c r="E29" s="142" t="str">
        <f>units</f>
        <v>$millions</v>
      </c>
      <c r="F29" s="139">
        <f t="shared" si="3"/>
        <v>43617</v>
      </c>
      <c r="G29" s="128"/>
      <c r="H29" s="128"/>
      <c r="I29" s="127"/>
      <c r="J29" s="140">
        <f>SUM(J19:J27)</f>
        <v>0</v>
      </c>
      <c r="K29" s="140">
        <f t="shared" ref="K29:S29" si="4">SUM(K19:K27)</f>
        <v>0</v>
      </c>
      <c r="L29" s="140">
        <f t="shared" si="4"/>
        <v>0</v>
      </c>
      <c r="M29" s="140">
        <f t="shared" si="4"/>
        <v>0</v>
      </c>
      <c r="N29" s="140">
        <f t="shared" si="4"/>
        <v>0</v>
      </c>
      <c r="O29" s="140">
        <f t="shared" si="4"/>
        <v>0</v>
      </c>
      <c r="P29" s="140">
        <f t="shared" si="4"/>
        <v>0</v>
      </c>
      <c r="Q29" s="140">
        <f t="shared" si="4"/>
        <v>0</v>
      </c>
      <c r="R29" s="140">
        <f t="shared" si="4"/>
        <v>0</v>
      </c>
      <c r="S29" s="140">
        <f t="shared" si="4"/>
        <v>0</v>
      </c>
      <c r="T29" s="140"/>
      <c r="U29" s="17"/>
      <c r="V29" s="67" t="str">
        <f>IF(COUNTIF(J19:S27,"&lt;0")&gt;0,"Check","Ok")</f>
        <v>Ok</v>
      </c>
    </row>
    <row r="30" spans="1:22" hidden="1" outlineLevel="1">
      <c r="A30" s="17"/>
      <c r="B30" s="17"/>
      <c r="C30" s="17"/>
      <c r="D30" s="127"/>
      <c r="E30" s="127"/>
      <c r="F30" s="127"/>
      <c r="G30" s="128"/>
      <c r="H30" s="128"/>
      <c r="I30" s="12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8"/>
    </row>
    <row r="31" spans="1:22" ht="12.3" collapsed="1">
      <c r="A31" s="34"/>
      <c r="B31" s="40" t="s">
        <v>11</v>
      </c>
      <c r="C31" s="34"/>
      <c r="D31" s="34"/>
      <c r="E31" s="34"/>
      <c r="F31" s="125"/>
      <c r="G31" s="125"/>
      <c r="H31" s="125"/>
      <c r="I31" s="125"/>
      <c r="J31" s="36"/>
      <c r="K31" s="126"/>
      <c r="L31" s="36"/>
      <c r="M31" s="126"/>
      <c r="N31" s="36"/>
      <c r="O31" s="36"/>
      <c r="P31" s="36"/>
      <c r="Q31" s="36"/>
      <c r="R31" s="36"/>
      <c r="S31" s="36"/>
      <c r="T31" s="36"/>
      <c r="U31" s="36"/>
      <c r="V31" s="37"/>
    </row>
    <row r="32" spans="1:22">
      <c r="A32" s="17"/>
      <c r="B32" s="17"/>
      <c r="C32" s="17"/>
      <c r="D32" s="127"/>
      <c r="E32" s="127"/>
      <c r="F32" s="127"/>
      <c r="G32" s="127"/>
      <c r="H32" s="127"/>
      <c r="I32" s="12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8"/>
    </row>
    <row r="33" spans="1:22">
      <c r="A33" s="17"/>
      <c r="B33" s="17"/>
      <c r="C33" s="17"/>
      <c r="D33" s="127"/>
      <c r="E33" s="127"/>
      <c r="F33" s="127"/>
      <c r="G33" s="127"/>
      <c r="H33" s="127"/>
      <c r="I33" s="127"/>
      <c r="J33" s="136" t="s">
        <v>112</v>
      </c>
      <c r="K33" s="136" t="s">
        <v>112</v>
      </c>
      <c r="L33" s="136" t="s">
        <v>112</v>
      </c>
      <c r="M33" s="136" t="s">
        <v>112</v>
      </c>
      <c r="N33" s="136" t="s">
        <v>112</v>
      </c>
      <c r="O33" s="136"/>
      <c r="P33" s="136"/>
      <c r="Q33" s="136"/>
      <c r="R33" s="136"/>
      <c r="S33" s="136"/>
      <c r="T33" s="136"/>
      <c r="U33" s="17"/>
      <c r="V33" s="8"/>
    </row>
    <row r="34" spans="1:22" ht="10.5">
      <c r="A34" s="17"/>
      <c r="B34" s="17"/>
      <c r="C34" s="129" t="s">
        <v>74</v>
      </c>
      <c r="D34" s="128" t="s">
        <v>47</v>
      </c>
      <c r="E34" s="128" t="s">
        <v>70</v>
      </c>
      <c r="F34" s="128" t="s">
        <v>75</v>
      </c>
      <c r="G34" s="128"/>
      <c r="H34" s="128"/>
      <c r="I34" s="128"/>
      <c r="J34" s="130">
        <f t="shared" ref="J34:S34" si="5">IF(YEAR(J$4)&lt;=PPLastYear,J$4,"")</f>
        <v>43983</v>
      </c>
      <c r="K34" s="130">
        <f t="shared" si="5"/>
        <v>44348</v>
      </c>
      <c r="L34" s="130">
        <f t="shared" si="5"/>
        <v>44713</v>
      </c>
      <c r="M34" s="130">
        <f t="shared" si="5"/>
        <v>45078</v>
      </c>
      <c r="N34" s="130">
        <f t="shared" si="5"/>
        <v>45444</v>
      </c>
      <c r="O34" s="130" t="str">
        <f t="shared" si="5"/>
        <v/>
      </c>
      <c r="P34" s="130" t="str">
        <f t="shared" si="5"/>
        <v/>
      </c>
      <c r="Q34" s="130" t="str">
        <f t="shared" si="5"/>
        <v/>
      </c>
      <c r="R34" s="130" t="str">
        <f t="shared" si="5"/>
        <v/>
      </c>
      <c r="S34" s="130" t="str">
        <f t="shared" si="5"/>
        <v/>
      </c>
      <c r="T34" s="130"/>
      <c r="U34" s="131" t="s">
        <v>105</v>
      </c>
      <c r="V34" s="8"/>
    </row>
    <row r="35" spans="1:22">
      <c r="A35" s="17"/>
      <c r="B35" s="17"/>
      <c r="C35" s="132"/>
      <c r="D35" s="127"/>
      <c r="E35" s="127"/>
      <c r="F35" s="127"/>
      <c r="G35" s="128"/>
      <c r="H35" s="128"/>
      <c r="I35" s="12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8"/>
    </row>
    <row r="36" spans="1:22">
      <c r="A36" s="17"/>
      <c r="B36" s="17"/>
      <c r="C36" s="132"/>
      <c r="D36" s="127"/>
      <c r="E36" s="127"/>
      <c r="F36" s="127"/>
      <c r="G36" s="128"/>
      <c r="H36" s="128"/>
      <c r="I36" s="12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8"/>
    </row>
    <row r="37" spans="1:22">
      <c r="A37" s="17"/>
      <c r="B37" s="17"/>
      <c r="C37" s="134" t="s">
        <v>106</v>
      </c>
      <c r="D37" s="127" t="s">
        <v>113</v>
      </c>
      <c r="E37" s="127" t="str">
        <f>units</f>
        <v>$millions</v>
      </c>
      <c r="F37" s="141" t="s">
        <v>114</v>
      </c>
      <c r="G37" s="128"/>
      <c r="H37" s="128"/>
      <c r="I37" s="127"/>
      <c r="J37" s="195"/>
      <c r="K37" s="195"/>
      <c r="L37" s="195"/>
      <c r="M37" s="195">
        <f>'Input|PWC'!O11</f>
        <v>14.019767812059998</v>
      </c>
      <c r="N37" s="136"/>
      <c r="O37" s="136"/>
      <c r="P37" s="136"/>
      <c r="Q37" s="136"/>
      <c r="R37" s="136"/>
      <c r="S37" s="136"/>
      <c r="T37" s="136"/>
      <c r="U37" s="170"/>
      <c r="V37" s="8"/>
    </row>
    <row r="38" spans="1:22">
      <c r="A38" s="17"/>
      <c r="B38" s="17"/>
      <c r="C38" s="132"/>
      <c r="D38" s="127"/>
      <c r="E38" s="127"/>
      <c r="F38" s="141"/>
      <c r="G38" s="128"/>
      <c r="H38" s="128"/>
      <c r="I38" s="127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7"/>
      <c r="V38" s="8"/>
    </row>
    <row r="39" spans="1:22" ht="10.5">
      <c r="A39" s="17"/>
      <c r="B39" s="17"/>
      <c r="C39" s="129" t="s">
        <v>115</v>
      </c>
      <c r="D39" s="127"/>
      <c r="E39" s="127"/>
      <c r="F39" s="141"/>
      <c r="G39" s="128"/>
      <c r="H39" s="128"/>
      <c r="I39" s="127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7"/>
      <c r="V39" s="8"/>
    </row>
    <row r="40" spans="1:22" ht="10.5">
      <c r="A40" s="17"/>
      <c r="B40" s="17"/>
      <c r="C40" s="129"/>
      <c r="D40" s="127"/>
      <c r="E40" s="127"/>
      <c r="F40" s="141"/>
      <c r="G40" s="128"/>
      <c r="H40" s="128"/>
      <c r="I40" s="127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7"/>
      <c r="V40" s="8"/>
    </row>
    <row r="41" spans="1:22">
      <c r="A41" s="17"/>
      <c r="B41" s="17"/>
      <c r="C41" s="134"/>
      <c r="D41" s="127" t="s">
        <v>113</v>
      </c>
      <c r="E41" s="127" t="str">
        <f>units</f>
        <v>$millions</v>
      </c>
      <c r="F41" s="141" t="s">
        <v>114</v>
      </c>
      <c r="G41" s="128"/>
      <c r="H41" s="128"/>
      <c r="I41" s="127"/>
      <c r="J41" s="195"/>
      <c r="K41" s="195"/>
      <c r="L41" s="195"/>
      <c r="M41" s="195"/>
      <c r="N41" s="136"/>
      <c r="O41" s="136"/>
      <c r="P41" s="136"/>
      <c r="Q41" s="136"/>
      <c r="R41" s="136"/>
      <c r="S41" s="136"/>
      <c r="T41" s="136"/>
      <c r="U41" s="196"/>
      <c r="V41" s="8"/>
    </row>
    <row r="42" spans="1:22">
      <c r="A42" s="17"/>
      <c r="B42" s="17"/>
      <c r="C42" s="134"/>
      <c r="D42" s="127" t="s">
        <v>113</v>
      </c>
      <c r="E42" s="127" t="str">
        <f>units</f>
        <v>$millions</v>
      </c>
      <c r="F42" s="141" t="s">
        <v>114</v>
      </c>
      <c r="G42" s="128"/>
      <c r="H42" s="128"/>
      <c r="I42" s="127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96"/>
      <c r="V42" s="8"/>
    </row>
    <row r="43" spans="1:22">
      <c r="A43" s="17"/>
      <c r="B43" s="17"/>
      <c r="C43" s="134"/>
      <c r="D43" s="127" t="s">
        <v>113</v>
      </c>
      <c r="E43" s="127" t="str">
        <f>units</f>
        <v>$millions</v>
      </c>
      <c r="F43" s="141" t="s">
        <v>114</v>
      </c>
      <c r="G43" s="128"/>
      <c r="H43" s="128"/>
      <c r="I43" s="127"/>
      <c r="J43" s="136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7"/>
      <c r="V43" s="8"/>
    </row>
    <row r="44" spans="1:22">
      <c r="A44" s="17"/>
      <c r="B44" s="17"/>
      <c r="C44" s="134"/>
      <c r="D44" s="127" t="s">
        <v>113</v>
      </c>
      <c r="E44" s="127" t="str">
        <f>units</f>
        <v>$millions</v>
      </c>
      <c r="F44" s="141" t="s">
        <v>114</v>
      </c>
      <c r="G44" s="128"/>
      <c r="H44" s="128"/>
      <c r="I44" s="127"/>
      <c r="J44" s="136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7"/>
      <c r="V44" s="8"/>
    </row>
    <row r="45" spans="1:22">
      <c r="A45" s="17"/>
      <c r="B45" s="17"/>
      <c r="C45" s="134"/>
      <c r="D45" s="127" t="s">
        <v>113</v>
      </c>
      <c r="E45" s="127" t="str">
        <f>units</f>
        <v>$millions</v>
      </c>
      <c r="F45" s="141" t="s">
        <v>114</v>
      </c>
      <c r="G45" s="128"/>
      <c r="H45" s="128"/>
      <c r="I45" s="127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7"/>
      <c r="V45" s="8"/>
    </row>
    <row r="46" spans="1:22">
      <c r="A46" s="17"/>
      <c r="B46" s="17"/>
      <c r="C46" s="132"/>
      <c r="D46" s="127"/>
      <c r="E46" s="127"/>
      <c r="F46" s="127"/>
      <c r="G46" s="128"/>
      <c r="H46" s="128"/>
      <c r="I46" s="127"/>
      <c r="J46" s="17"/>
      <c r="K46" s="17"/>
      <c r="L46" s="17"/>
      <c r="M46" s="17"/>
      <c r="N46" s="143"/>
      <c r="O46" s="143"/>
      <c r="P46" s="143"/>
      <c r="Q46" s="143"/>
      <c r="R46" s="143"/>
      <c r="S46" s="143"/>
      <c r="T46" s="143"/>
      <c r="U46" s="17"/>
      <c r="V46" s="8"/>
    </row>
    <row r="47" spans="1:22" ht="10.5">
      <c r="A47" s="17"/>
      <c r="B47" s="17"/>
      <c r="C47" s="137" t="s">
        <v>116</v>
      </c>
      <c r="D47" s="138" t="s">
        <v>68</v>
      </c>
      <c r="E47" s="142" t="str">
        <f>units</f>
        <v>$millions</v>
      </c>
      <c r="F47" s="139" t="s">
        <v>114</v>
      </c>
      <c r="G47" s="128"/>
      <c r="H47" s="128"/>
      <c r="I47" s="127"/>
      <c r="J47" s="140">
        <f>J37-SUM(J41:J45)</f>
        <v>0</v>
      </c>
      <c r="K47" s="140">
        <f t="shared" ref="K47:S47" si="6">K37-SUM(K41:K45)</f>
        <v>0</v>
      </c>
      <c r="L47" s="140">
        <f t="shared" si="6"/>
        <v>0</v>
      </c>
      <c r="M47" s="140">
        <f t="shared" si="6"/>
        <v>14.019767812059998</v>
      </c>
      <c r="N47" s="140">
        <f t="shared" si="6"/>
        <v>0</v>
      </c>
      <c r="O47" s="140">
        <f t="shared" si="6"/>
        <v>0</v>
      </c>
      <c r="P47" s="140">
        <f t="shared" si="6"/>
        <v>0</v>
      </c>
      <c r="Q47" s="140">
        <f t="shared" si="6"/>
        <v>0</v>
      </c>
      <c r="R47" s="140">
        <f t="shared" si="6"/>
        <v>0</v>
      </c>
      <c r="S47" s="140">
        <f t="shared" si="6"/>
        <v>0</v>
      </c>
      <c r="T47" s="140"/>
      <c r="U47" s="17"/>
      <c r="V47" s="8"/>
    </row>
    <row r="48" spans="1:22">
      <c r="A48" s="17"/>
      <c r="B48" s="17"/>
      <c r="C48" s="17"/>
      <c r="D48" s="127"/>
      <c r="E48" s="127"/>
      <c r="F48" s="127"/>
      <c r="G48" s="127"/>
      <c r="H48" s="127"/>
      <c r="I48" s="12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8"/>
    </row>
    <row r="49" spans="1:22" ht="10.5">
      <c r="A49" s="17"/>
      <c r="B49" s="17"/>
      <c r="C49" s="129" t="s">
        <v>117</v>
      </c>
      <c r="D49" s="127"/>
      <c r="E49" s="127"/>
      <c r="F49" s="127"/>
      <c r="G49" s="127"/>
      <c r="H49" s="127"/>
      <c r="I49" s="12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8"/>
    </row>
    <row r="50" spans="1:22">
      <c r="A50" s="17"/>
      <c r="B50" s="17"/>
      <c r="C50" s="17"/>
      <c r="D50" s="127"/>
      <c r="E50" s="127"/>
      <c r="F50" s="127"/>
      <c r="G50" s="127"/>
      <c r="H50" s="127"/>
      <c r="I50" s="12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8"/>
    </row>
    <row r="51" spans="1:22">
      <c r="A51" s="17"/>
      <c r="B51" s="17"/>
      <c r="C51" s="134"/>
      <c r="D51" s="127" t="s">
        <v>113</v>
      </c>
      <c r="E51" s="127" t="str">
        <f>units</f>
        <v>$millions</v>
      </c>
      <c r="F51" s="141" t="s">
        <v>114</v>
      </c>
      <c r="G51" s="128"/>
      <c r="H51" s="128"/>
      <c r="I51" s="127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70" t="s">
        <v>110</v>
      </c>
      <c r="V51" s="8"/>
    </row>
    <row r="52" spans="1:22">
      <c r="A52" s="17"/>
      <c r="B52" s="17"/>
      <c r="C52" s="134"/>
      <c r="D52" s="127" t="s">
        <v>113</v>
      </c>
      <c r="E52" s="127" t="str">
        <f>units</f>
        <v>$millions</v>
      </c>
      <c r="F52" s="141" t="s">
        <v>114</v>
      </c>
      <c r="G52" s="128"/>
      <c r="H52" s="128"/>
      <c r="I52" s="127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7"/>
      <c r="V52" s="8"/>
    </row>
    <row r="53" spans="1:22">
      <c r="A53" s="17"/>
      <c r="B53" s="17"/>
      <c r="C53" s="134"/>
      <c r="D53" s="127" t="s">
        <v>113</v>
      </c>
      <c r="E53" s="127" t="str">
        <f>units</f>
        <v>$millions</v>
      </c>
      <c r="F53" s="141" t="s">
        <v>114</v>
      </c>
      <c r="G53" s="128"/>
      <c r="H53" s="128"/>
      <c r="I53" s="127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7"/>
      <c r="V53" s="8"/>
    </row>
    <row r="54" spans="1:22">
      <c r="A54" s="17"/>
      <c r="B54" s="17"/>
      <c r="C54" s="134"/>
      <c r="D54" s="127" t="s">
        <v>113</v>
      </c>
      <c r="E54" s="127" t="str">
        <f>units</f>
        <v>$millions</v>
      </c>
      <c r="F54" s="141" t="s">
        <v>114</v>
      </c>
      <c r="G54" s="128"/>
      <c r="H54" s="128"/>
      <c r="I54" s="127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7"/>
      <c r="V54" s="8"/>
    </row>
    <row r="55" spans="1:22">
      <c r="A55" s="17"/>
      <c r="B55" s="17"/>
      <c r="C55" s="134"/>
      <c r="D55" s="127" t="s">
        <v>113</v>
      </c>
      <c r="E55" s="127" t="str">
        <f>units</f>
        <v>$millions</v>
      </c>
      <c r="F55" s="141" t="s">
        <v>114</v>
      </c>
      <c r="G55" s="128"/>
      <c r="H55" s="128"/>
      <c r="I55" s="127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7"/>
      <c r="V55" s="8"/>
    </row>
    <row r="56" spans="1:22">
      <c r="A56" s="17"/>
      <c r="B56" s="17"/>
      <c r="C56" s="132"/>
      <c r="D56" s="127"/>
      <c r="E56" s="127"/>
      <c r="F56" s="127"/>
      <c r="G56" s="128"/>
      <c r="H56" s="128"/>
      <c r="I56" s="127"/>
      <c r="J56" s="17"/>
      <c r="K56" s="17"/>
      <c r="L56" s="17"/>
      <c r="M56" s="17"/>
      <c r="N56" s="143"/>
      <c r="O56" s="143"/>
      <c r="P56" s="143"/>
      <c r="Q56" s="143"/>
      <c r="R56" s="143"/>
      <c r="S56" s="143"/>
      <c r="T56" s="143"/>
      <c r="U56" s="17"/>
      <c r="V56" s="8"/>
    </row>
    <row r="57" spans="1:22" ht="10.5">
      <c r="A57" s="17"/>
      <c r="B57" s="17"/>
      <c r="C57" s="137" t="s">
        <v>111</v>
      </c>
      <c r="D57" s="138" t="s">
        <v>68</v>
      </c>
      <c r="E57" s="142" t="str">
        <f>units</f>
        <v>$millions</v>
      </c>
      <c r="F57" s="139" t="s">
        <v>114</v>
      </c>
      <c r="G57" s="128"/>
      <c r="H57" s="128"/>
      <c r="I57" s="127"/>
      <c r="J57" s="144">
        <f>SUM(J51:J55)</f>
        <v>0</v>
      </c>
      <c r="K57" s="144">
        <f t="shared" ref="K57:S57" si="7">SUM(K51:K55)</f>
        <v>0</v>
      </c>
      <c r="L57" s="144">
        <f t="shared" si="7"/>
        <v>0</v>
      </c>
      <c r="M57" s="144">
        <f t="shared" si="7"/>
        <v>0</v>
      </c>
      <c r="N57" s="144">
        <f t="shared" si="7"/>
        <v>0</v>
      </c>
      <c r="O57" s="144">
        <f t="shared" si="7"/>
        <v>0</v>
      </c>
      <c r="P57" s="144">
        <f t="shared" si="7"/>
        <v>0</v>
      </c>
      <c r="Q57" s="144">
        <f t="shared" si="7"/>
        <v>0</v>
      </c>
      <c r="R57" s="144">
        <f t="shared" si="7"/>
        <v>0</v>
      </c>
      <c r="S57" s="144">
        <f t="shared" si="7"/>
        <v>0</v>
      </c>
      <c r="T57" s="144"/>
      <c r="U57" s="17"/>
      <c r="V57" s="67" t="str">
        <f>IF(COUNTIF(J51:S55,"&lt;0")&gt;0,"Check","Ok")</f>
        <v>Ok</v>
      </c>
    </row>
    <row r="58" spans="1:22">
      <c r="A58" s="17"/>
      <c r="B58" s="17"/>
      <c r="C58" s="17"/>
      <c r="D58" s="127"/>
      <c r="E58" s="127"/>
      <c r="F58" s="127"/>
      <c r="G58" s="128"/>
      <c r="H58" s="128"/>
      <c r="I58" s="12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8"/>
    </row>
    <row r="59" spans="1:22" ht="12.3">
      <c r="A59" s="34"/>
      <c r="B59" s="40" t="s">
        <v>118</v>
      </c>
      <c r="C59" s="34"/>
      <c r="D59" s="34"/>
      <c r="E59" s="34"/>
      <c r="F59" s="125"/>
      <c r="G59" s="125"/>
      <c r="H59" s="125"/>
      <c r="I59" s="125"/>
      <c r="J59" s="36"/>
      <c r="K59" s="126"/>
      <c r="L59" s="36"/>
      <c r="M59" s="126"/>
      <c r="N59" s="36"/>
      <c r="O59" s="36"/>
      <c r="P59" s="36"/>
      <c r="Q59" s="36"/>
      <c r="R59" s="36"/>
      <c r="S59" s="36"/>
      <c r="T59" s="36"/>
      <c r="U59" s="36"/>
      <c r="V59" s="37"/>
    </row>
    <row r="60" spans="1:22">
      <c r="A60" s="17"/>
      <c r="B60" s="17"/>
      <c r="C60" s="17"/>
      <c r="D60" s="127"/>
      <c r="E60" s="127"/>
      <c r="F60" s="127"/>
      <c r="G60" s="127"/>
      <c r="H60" s="127"/>
      <c r="I60" s="12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8"/>
    </row>
    <row r="61" spans="1:22" ht="10.5">
      <c r="A61" s="17"/>
      <c r="B61" s="17"/>
      <c r="C61" s="129" t="s">
        <v>119</v>
      </c>
      <c r="D61" s="128" t="s">
        <v>47</v>
      </c>
      <c r="E61" s="128" t="s">
        <v>70</v>
      </c>
      <c r="F61" s="128" t="s">
        <v>75</v>
      </c>
      <c r="G61" s="128"/>
      <c r="H61" s="128"/>
      <c r="I61" s="128"/>
      <c r="J61" s="130" t="str">
        <f t="shared" ref="J61:T61" si="8">IF(YEAR(J$4)=BaseYear,J$4,"")</f>
        <v/>
      </c>
      <c r="K61" s="130" t="str">
        <f t="shared" si="8"/>
        <v/>
      </c>
      <c r="L61" s="130" t="str">
        <f t="shared" si="8"/>
        <v/>
      </c>
      <c r="M61" s="130">
        <f t="shared" si="8"/>
        <v>45078</v>
      </c>
      <c r="N61" s="130" t="str">
        <f t="shared" si="8"/>
        <v/>
      </c>
      <c r="O61" s="130" t="str">
        <f t="shared" si="8"/>
        <v/>
      </c>
      <c r="P61" s="130" t="str">
        <f t="shared" si="8"/>
        <v/>
      </c>
      <c r="Q61" s="130" t="str">
        <f t="shared" si="8"/>
        <v/>
      </c>
      <c r="R61" s="130" t="str">
        <f t="shared" si="8"/>
        <v/>
      </c>
      <c r="S61" s="130" t="str">
        <f t="shared" si="8"/>
        <v/>
      </c>
      <c r="T61" s="130" t="str">
        <f t="shared" si="8"/>
        <v/>
      </c>
      <c r="U61" s="17"/>
      <c r="V61" s="8"/>
    </row>
    <row r="62" spans="1:22" ht="10.5">
      <c r="A62" s="17"/>
      <c r="B62" s="17"/>
      <c r="C62" s="129"/>
      <c r="D62" s="128"/>
      <c r="E62" s="128"/>
      <c r="F62" s="128"/>
      <c r="G62" s="128"/>
      <c r="H62" s="128"/>
      <c r="I62" s="128"/>
      <c r="J62" s="145"/>
      <c r="K62" s="145"/>
      <c r="L62" s="145"/>
      <c r="M62" s="145"/>
      <c r="N62" s="145"/>
      <c r="O62" s="145"/>
      <c r="P62" s="145"/>
      <c r="Q62" s="145"/>
      <c r="R62" s="145"/>
      <c r="S62" s="145"/>
      <c r="T62" s="145"/>
      <c r="U62" s="17"/>
      <c r="V62" s="8"/>
    </row>
    <row r="63" spans="1:22">
      <c r="A63" s="17"/>
      <c r="B63" s="17"/>
      <c r="C63" s="168" t="str">
        <f>'Input|PWC'!C18</f>
        <v>Capex Personnel</v>
      </c>
      <c r="D63" s="127" t="s">
        <v>120</v>
      </c>
      <c r="E63" s="127" t="str">
        <f>units</f>
        <v>$millions</v>
      </c>
      <c r="F63" s="146">
        <f>DATE(PPLastYear,MONTH(month),1)</f>
        <v>45444</v>
      </c>
      <c r="G63" s="128"/>
      <c r="H63" s="128"/>
      <c r="I63" s="128"/>
      <c r="J63" s="136"/>
      <c r="K63" s="136"/>
      <c r="L63" s="136"/>
      <c r="M63" s="136">
        <f>SUMIF('Input|PWC'!$C$18:$C$40,$C63,'Input|PWC'!$O$18:$O$40)*'Input|Rate of change'!$N$31</f>
        <v>0</v>
      </c>
      <c r="N63" s="136"/>
      <c r="O63" s="136"/>
      <c r="P63" s="136"/>
      <c r="Q63" s="136"/>
      <c r="R63" s="136"/>
      <c r="S63" s="136"/>
      <c r="T63" s="136"/>
      <c r="U63" s="170" t="s">
        <v>121</v>
      </c>
      <c r="V63" s="8"/>
    </row>
    <row r="64" spans="1:22" ht="10.5">
      <c r="A64" s="17"/>
      <c r="B64" s="17"/>
      <c r="C64" s="168" t="str">
        <f>'Input|PWC'!C19</f>
        <v>Back-pay Journal</v>
      </c>
      <c r="D64" s="127" t="s">
        <v>120</v>
      </c>
      <c r="E64" s="127" t="str">
        <f>units</f>
        <v>$millions</v>
      </c>
      <c r="F64" s="146">
        <f>DATE(PPLastYear,MONTH(month),1)</f>
        <v>45444</v>
      </c>
      <c r="G64" s="128"/>
      <c r="H64" s="128"/>
      <c r="I64" s="128"/>
      <c r="J64" s="136"/>
      <c r="K64" s="136"/>
      <c r="L64" s="136"/>
      <c r="M64" s="136">
        <f>SUMIF('Input|PWC'!$C$18:$C$40,$C64,'Input|PWC'!$O$18:$O$40)*'Input|Rate of change'!$N$31</f>
        <v>-0.21988328234988086</v>
      </c>
      <c r="N64" s="136"/>
      <c r="O64" s="136"/>
      <c r="P64" s="136"/>
      <c r="Q64" s="136"/>
      <c r="R64" s="136"/>
      <c r="S64" s="136"/>
      <c r="T64" s="136"/>
      <c r="U64" s="129"/>
      <c r="V64" s="8"/>
    </row>
    <row r="65" spans="1:22" ht="10.5">
      <c r="A65" s="17"/>
      <c r="B65" s="17"/>
      <c r="C65" s="168" t="str">
        <f>'Input|PWC'!C20</f>
        <v>Adjustments for one-off expenditure</v>
      </c>
      <c r="D65" s="127" t="s">
        <v>120</v>
      </c>
      <c r="E65" s="127" t="str">
        <f>units</f>
        <v>$millions</v>
      </c>
      <c r="F65" s="146">
        <f>DATE(PPLastYear,MONTH(month),1)</f>
        <v>45444</v>
      </c>
      <c r="G65" s="128"/>
      <c r="H65" s="128"/>
      <c r="I65" s="128"/>
      <c r="J65" s="136"/>
      <c r="K65" s="136"/>
      <c r="L65" s="136"/>
      <c r="M65" s="136">
        <f>SUMIF('Input|PWC'!$C$18:$C$40,$C65,'Input|PWC'!$O$18:$O$40)*'Input|Rate of change'!$N$31</f>
        <v>-0.61098512604133492</v>
      </c>
      <c r="N65" s="136"/>
      <c r="O65" s="136"/>
      <c r="P65" s="136"/>
      <c r="Q65" s="136"/>
      <c r="R65" s="136"/>
      <c r="S65" s="136"/>
      <c r="T65" s="136"/>
      <c r="U65" s="129"/>
      <c r="V65" s="8"/>
    </row>
    <row r="66" spans="1:22" ht="10.5">
      <c r="A66" s="17"/>
      <c r="B66" s="17"/>
      <c r="C66" s="168" t="str">
        <f>'Input|PWC'!C21</f>
        <v>Personnel Activity Reallocation</v>
      </c>
      <c r="D66" s="127" t="s">
        <v>120</v>
      </c>
      <c r="E66" s="127" t="str">
        <f>units</f>
        <v>$millions</v>
      </c>
      <c r="F66" s="146">
        <f>DATE(PPLastYear,MONTH(month),1)</f>
        <v>45444</v>
      </c>
      <c r="G66" s="128"/>
      <c r="H66" s="128"/>
      <c r="I66" s="128"/>
      <c r="J66" s="136"/>
      <c r="K66" s="136"/>
      <c r="L66" s="136"/>
      <c r="M66" s="136">
        <f>SUMIF('Input|PWC'!$C$18:$C$40,$C66,'Input|PWC'!$O$18:$O$40)*'Input|Rate of change'!$N$31</f>
        <v>0</v>
      </c>
      <c r="N66" s="136"/>
      <c r="O66" s="136"/>
      <c r="P66" s="136"/>
      <c r="Q66" s="136"/>
      <c r="R66" s="136"/>
      <c r="S66" s="136"/>
      <c r="T66" s="136"/>
      <c r="U66" s="129"/>
      <c r="V66" s="8"/>
    </row>
    <row r="67" spans="1:22" ht="10.5">
      <c r="A67" s="17"/>
      <c r="B67" s="17"/>
      <c r="C67" s="168" t="str">
        <f>'Input|PWC'!C22</f>
        <v>Removal of Corporate Overheads</v>
      </c>
      <c r="D67" s="127" t="s">
        <v>120</v>
      </c>
      <c r="E67" s="127" t="str">
        <f>units</f>
        <v>$millions</v>
      </c>
      <c r="F67" s="146">
        <f>DATE(PPLastYear,MONTH(month),1)</f>
        <v>45444</v>
      </c>
      <c r="G67" s="128"/>
      <c r="H67" s="128"/>
      <c r="I67" s="128"/>
      <c r="J67" s="136"/>
      <c r="K67" s="136"/>
      <c r="L67" s="136"/>
      <c r="M67" s="136">
        <f>SUMIF('Input|PWC'!$C$18:$C$40,$C67,'Input|PWC'!$O$18:$O$40)*'Input|Rate of change'!$N$31</f>
        <v>-3.7395134489951105</v>
      </c>
      <c r="N67" s="136"/>
      <c r="O67" s="136"/>
      <c r="P67" s="136"/>
      <c r="Q67" s="136"/>
      <c r="R67" s="136"/>
      <c r="S67" s="136"/>
      <c r="T67" s="136"/>
      <c r="U67" s="129"/>
      <c r="V67" s="8"/>
    </row>
    <row r="68" spans="1:22" ht="10.5">
      <c r="A68" s="17"/>
      <c r="B68" s="17"/>
      <c r="C68" s="147"/>
      <c r="D68" s="127"/>
      <c r="E68" s="127"/>
      <c r="F68" s="128"/>
      <c r="G68" s="128"/>
      <c r="H68" s="128"/>
      <c r="I68" s="128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29"/>
      <c r="V68" s="8"/>
    </row>
    <row r="69" spans="1:22" ht="10.5">
      <c r="A69" s="17"/>
      <c r="B69" s="17"/>
      <c r="C69" s="149" t="s">
        <v>122</v>
      </c>
      <c r="D69" s="127" t="s">
        <v>120</v>
      </c>
      <c r="E69" s="127" t="str">
        <f>units</f>
        <v>$millions</v>
      </c>
      <c r="F69" s="146">
        <f>DATE(PPLastYear,MONTH(month),1)</f>
        <v>45444</v>
      </c>
      <c r="G69" s="128"/>
      <c r="H69" s="128"/>
      <c r="I69" s="128"/>
      <c r="J69" s="136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29"/>
      <c r="V69" s="8"/>
    </row>
    <row r="70" spans="1:22" ht="10.5">
      <c r="A70" s="17"/>
      <c r="B70" s="17"/>
      <c r="C70" s="149"/>
      <c r="D70" s="127"/>
      <c r="E70" s="127"/>
      <c r="F70" s="128"/>
      <c r="G70" s="128"/>
      <c r="H70" s="128"/>
      <c r="I70" s="12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148"/>
      <c r="U70" s="129"/>
      <c r="V70" s="8"/>
    </row>
    <row r="71" spans="1:22" ht="10.5">
      <c r="A71" s="17"/>
      <c r="B71" s="17"/>
      <c r="C71" s="149" t="s">
        <v>123</v>
      </c>
      <c r="D71" s="127" t="s">
        <v>120</v>
      </c>
      <c r="E71" s="127" t="s">
        <v>124</v>
      </c>
      <c r="F71" s="128"/>
      <c r="G71" s="128"/>
      <c r="H71" s="128"/>
      <c r="I71" s="128"/>
      <c r="J71" s="150"/>
      <c r="K71" s="150"/>
      <c r="L71" s="150"/>
      <c r="M71" s="150"/>
      <c r="N71" s="150"/>
      <c r="O71" s="150"/>
      <c r="P71" s="150"/>
      <c r="Q71" s="150"/>
      <c r="R71" s="150"/>
      <c r="S71" s="150"/>
      <c r="T71" s="150"/>
      <c r="U71" s="129"/>
      <c r="V71" s="8"/>
    </row>
    <row r="72" spans="1:22">
      <c r="A72" s="17"/>
      <c r="B72" s="17"/>
      <c r="C72" s="132"/>
      <c r="D72" s="127"/>
      <c r="E72" s="127"/>
      <c r="F72" s="127"/>
      <c r="G72" s="128"/>
      <c r="H72" s="128"/>
      <c r="I72" s="12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8"/>
    </row>
    <row r="73" spans="1:22" ht="12.3">
      <c r="A73" s="34"/>
      <c r="B73" s="40" t="s">
        <v>37</v>
      </c>
      <c r="C73" s="34"/>
      <c r="D73" s="34"/>
      <c r="E73" s="34"/>
      <c r="F73" s="125"/>
      <c r="G73" s="125"/>
      <c r="H73" s="125"/>
      <c r="I73" s="125"/>
      <c r="J73" s="36"/>
      <c r="K73" s="126"/>
      <c r="L73" s="36"/>
      <c r="M73" s="126"/>
      <c r="N73" s="36"/>
      <c r="O73" s="36"/>
      <c r="P73" s="36"/>
      <c r="Q73" s="36"/>
      <c r="R73" s="36"/>
      <c r="S73" s="36"/>
      <c r="T73" s="36"/>
      <c r="U73" s="36"/>
      <c r="V73" s="37"/>
    </row>
  </sheetData>
  <conditionalFormatting sqref="J41:N41 J41:L45">
    <cfRule type="expression" dxfId="137" priority="53">
      <formula>J$34=J$4</formula>
    </cfRule>
  </conditionalFormatting>
  <conditionalFormatting sqref="J13:T13">
    <cfRule type="expression" dxfId="136" priority="12">
      <formula>J$10=J$4</formula>
    </cfRule>
  </conditionalFormatting>
  <conditionalFormatting sqref="J15:T15">
    <cfRule type="cellIs" dxfId="135" priority="15" operator="equal">
      <formula>0</formula>
    </cfRule>
  </conditionalFormatting>
  <conditionalFormatting sqref="J19:T27">
    <cfRule type="expression" dxfId="134" priority="7">
      <formula>J$10=J$4</formula>
    </cfRule>
  </conditionalFormatting>
  <conditionalFormatting sqref="J29:T29">
    <cfRule type="cellIs" dxfId="133" priority="8" operator="equal">
      <formula>0</formula>
    </cfRule>
  </conditionalFormatting>
  <conditionalFormatting sqref="J33:T33 N37:T37 O41:T45">
    <cfRule type="expression" dxfId="132" priority="13">
      <formula>J$34=J$4</formula>
    </cfRule>
  </conditionalFormatting>
  <conditionalFormatting sqref="J37:T37">
    <cfRule type="expression" dxfId="131" priority="1">
      <formula>J$10=J$4</formula>
    </cfRule>
  </conditionalFormatting>
  <conditionalFormatting sqref="J47:T47">
    <cfRule type="cellIs" dxfId="130" priority="10" operator="equal">
      <formula>0</formula>
    </cfRule>
  </conditionalFormatting>
  <conditionalFormatting sqref="J51:T55">
    <cfRule type="expression" dxfId="129" priority="2">
      <formula>J$34=J$4</formula>
    </cfRule>
  </conditionalFormatting>
  <conditionalFormatting sqref="J57:T57">
    <cfRule type="cellIs" dxfId="128" priority="14" operator="equal">
      <formula>0</formula>
    </cfRule>
  </conditionalFormatting>
  <conditionalFormatting sqref="J63:T67">
    <cfRule type="expression" dxfId="127" priority="9">
      <formula>J$61=J$4</formula>
    </cfRule>
  </conditionalFormatting>
  <conditionalFormatting sqref="J69:T69 J71:T71">
    <cfRule type="expression" dxfId="126" priority="44">
      <formula>J$61=J$4</formula>
    </cfRule>
  </conditionalFormatting>
  <conditionalFormatting sqref="M42:N45">
    <cfRule type="expression" dxfId="125" priority="5">
      <formula>M$34=M$4</formula>
    </cfRule>
  </conditionalFormatting>
  <conditionalFormatting sqref="S1:T1">
    <cfRule type="cellIs" dxfId="124" priority="32" operator="equal">
      <formula>"Check"</formula>
    </cfRule>
    <cfRule type="cellIs" dxfId="123" priority="33" operator="equal">
      <formula>"Ok"</formula>
    </cfRule>
  </conditionalFormatting>
  <conditionalFormatting sqref="V1">
    <cfRule type="cellIs" dxfId="122" priority="61" operator="equal">
      <formula>"Check"</formula>
    </cfRule>
    <cfRule type="cellIs" dxfId="121" priority="62" operator="equal">
      <formula>"Ok"</formula>
    </cfRule>
  </conditionalFormatting>
  <conditionalFormatting sqref="V15">
    <cfRule type="cellIs" dxfId="120" priority="63" operator="equal">
      <formula>"Check"</formula>
    </cfRule>
    <cfRule type="cellIs" dxfId="119" priority="64" operator="equal">
      <formula>"Ok"</formula>
    </cfRule>
  </conditionalFormatting>
  <conditionalFormatting sqref="V29">
    <cfRule type="cellIs" dxfId="118" priority="40" operator="equal">
      <formula>"Check"</formula>
    </cfRule>
    <cfRule type="cellIs" dxfId="117" priority="41" operator="equal">
      <formula>"Ok"</formula>
    </cfRule>
  </conditionalFormatting>
  <conditionalFormatting sqref="V37 V41:V45">
    <cfRule type="cellIs" dxfId="116" priority="67" operator="equal">
      <formula>"Check"</formula>
    </cfRule>
    <cfRule type="cellIs" dxfId="115" priority="68" operator="equal">
      <formula>"Ok"</formula>
    </cfRule>
  </conditionalFormatting>
  <conditionalFormatting sqref="V47">
    <cfRule type="cellIs" dxfId="114" priority="47" operator="equal">
      <formula>"Check"</formula>
    </cfRule>
    <cfRule type="cellIs" dxfId="113" priority="48" operator="equal">
      <formula>"Ok"</formula>
    </cfRule>
  </conditionalFormatting>
  <conditionalFormatting sqref="V48:V55">
    <cfRule type="cellIs" dxfId="112" priority="55" operator="equal">
      <formula>"Check"</formula>
    </cfRule>
    <cfRule type="cellIs" dxfId="111" priority="56" operator="equal">
      <formula>"Ok"</formula>
    </cfRule>
  </conditionalFormatting>
  <conditionalFormatting sqref="V57">
    <cfRule type="cellIs" dxfId="110" priority="65" operator="equal">
      <formula>"Check"</formula>
    </cfRule>
    <cfRule type="cellIs" dxfId="109" priority="66" operator="equal">
      <formula>"Ok"</formula>
    </cfRule>
  </conditionalFormatting>
  <dataValidations count="1">
    <dataValidation type="list" allowBlank="1" showInputMessage="1" showErrorMessage="1" sqref="J33:T33" xr:uid="{00000000-0002-0000-0400-000000000000}">
      <formula1>"Actual,Estimate"</formula1>
    </dataValidation>
  </dataValidations>
  <hyperlinks>
    <hyperlink ref="J1" location="Index!A1" display="Back to Index" xr:uid="{00000000-0004-0000-0400-000000000000}"/>
    <hyperlink ref="U1" location="'Check|List'!A1" display="Overall Check:" xr:uid="{00000000-0004-0000-0400-000001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9"/>
  <sheetViews>
    <sheetView showGridLines="0" zoomScaleNormal="100" workbookViewId="0"/>
  </sheetViews>
  <sheetFormatPr defaultColWidth="0" defaultRowHeight="10.199999999999999" zeroHeight="1" outlineLevelRow="1"/>
  <cols>
    <col min="1" max="2" width="1.46484375" style="8" customWidth="1"/>
    <col min="3" max="3" width="57.46484375" style="8" bestFit="1" customWidth="1"/>
    <col min="4" max="4" width="27.6640625" style="16" customWidth="1"/>
    <col min="5" max="5" width="15.796875" style="16" customWidth="1"/>
    <col min="6" max="6" width="10.6640625" style="16" customWidth="1"/>
    <col min="7" max="9" width="3.33203125" style="16" customWidth="1"/>
    <col min="10" max="10" width="10.796875" style="16" customWidth="1"/>
    <col min="11" max="24" width="10.796875" style="8" customWidth="1"/>
    <col min="25" max="16384" width="10.46484375" style="8" hidden="1"/>
  </cols>
  <sheetData>
    <row r="1" spans="1:34" s="29" customFormat="1" ht="15">
      <c r="B1" s="26" t="str">
        <f>Index!$B$1</f>
        <v>AER opex model - version: NTESMO 2024-27</v>
      </c>
      <c r="C1" s="26"/>
      <c r="D1" s="26"/>
      <c r="E1" s="26"/>
      <c r="F1" s="27"/>
      <c r="G1" s="27"/>
      <c r="H1" s="27"/>
      <c r="I1" s="27"/>
      <c r="J1" s="27"/>
      <c r="K1" s="28" t="s">
        <v>38</v>
      </c>
      <c r="M1" s="30" t="s">
        <v>39</v>
      </c>
      <c r="N1" s="48" t="s">
        <v>40</v>
      </c>
      <c r="O1" s="11" t="s">
        <v>41</v>
      </c>
      <c r="P1" s="12" t="s">
        <v>42</v>
      </c>
      <c r="S1" s="30" t="s">
        <v>43</v>
      </c>
      <c r="T1" s="31" t="str">
        <f>IF(COUNTIF(X5:X118,"Check")=0,"Ok","Check")</f>
        <v>Ok</v>
      </c>
      <c r="U1" s="31"/>
      <c r="W1" s="113" t="s">
        <v>44</v>
      </c>
      <c r="X1" s="31" t="str">
        <f>'Check|List'!$S$1</f>
        <v>Ok</v>
      </c>
    </row>
    <row r="2" spans="1:34" s="33" customFormat="1" ht="12.9" thickBot="1">
      <c r="B2" s="32" t="str">
        <f>Index!$C$11</f>
        <v>Input | Rate of change</v>
      </c>
      <c r="C2" s="32"/>
      <c r="D2" s="32"/>
      <c r="E2" s="32"/>
      <c r="F2" s="55"/>
      <c r="G2" s="55"/>
      <c r="H2" s="55"/>
      <c r="I2" s="55"/>
      <c r="J2" s="55"/>
    </row>
    <row r="3" spans="1:34" s="56" customFormat="1" ht="10.5">
      <c r="D3" s="110"/>
      <c r="E3" s="110"/>
      <c r="F3" s="110"/>
      <c r="G3" s="110"/>
      <c r="H3" s="110"/>
      <c r="I3" s="110"/>
      <c r="J3" s="99" t="s">
        <v>55</v>
      </c>
      <c r="K3" s="210"/>
      <c r="L3" s="210"/>
      <c r="M3" s="210"/>
      <c r="N3" s="110"/>
      <c r="O3" s="210"/>
      <c r="P3" s="210"/>
      <c r="Q3" s="210"/>
      <c r="R3" s="210"/>
      <c r="S3" s="210"/>
      <c r="T3" s="210"/>
      <c r="U3" s="110"/>
      <c r="V3" s="57"/>
      <c r="W3" s="57"/>
      <c r="X3" s="57"/>
      <c r="Y3" s="57"/>
      <c r="Z3" s="57"/>
      <c r="AA3" s="57"/>
      <c r="AB3" s="57"/>
      <c r="AC3" s="57"/>
      <c r="AD3" s="57"/>
    </row>
    <row r="4" spans="1:34" s="66" customFormat="1">
      <c r="A4" s="58"/>
      <c r="B4" s="58"/>
      <c r="C4" s="58"/>
      <c r="D4" s="59" t="s">
        <v>47</v>
      </c>
      <c r="E4" s="59" t="s">
        <v>70</v>
      </c>
      <c r="F4" s="151" t="s">
        <v>75</v>
      </c>
      <c r="G4" s="152"/>
      <c r="H4" s="152"/>
      <c r="I4" s="152"/>
      <c r="J4" s="97">
        <f>DATE(PPFirstYear-1,MONTH('Input|General'!$G$9),1)</f>
        <v>43617</v>
      </c>
      <c r="K4" s="97">
        <f>DATE(PPFirstYear,MONTH('Input|General'!$G$9),1)</f>
        <v>43983</v>
      </c>
      <c r="L4" s="97">
        <f>DATE(PPFirstYear+1,MONTH('Input|General'!$G$9),1)</f>
        <v>44348</v>
      </c>
      <c r="M4" s="97">
        <f>DATE(PPFirstYear+2,MONTH('Input|General'!$G$9),1)</f>
        <v>44713</v>
      </c>
      <c r="N4" s="97">
        <f>DATE(PPFirstYear+3,MONTH('Input|General'!$G$9),1)</f>
        <v>45078</v>
      </c>
      <c r="O4" s="97">
        <f>DATE(PPFirstYear+4,MONTH('Input|General'!$G$9),1)</f>
        <v>45444</v>
      </c>
      <c r="P4" s="97">
        <f>DATE(PPFirstYear+5,MONTH('Input|General'!$G$9),1)</f>
        <v>45809</v>
      </c>
      <c r="Q4" s="97">
        <f>DATE(PPFirstYear+6,MONTH('Input|General'!$G$9),1)</f>
        <v>46174</v>
      </c>
      <c r="R4" s="97">
        <f>DATE(PPFirstYear+7,MONTH('Input|General'!$G$9),1)</f>
        <v>46539</v>
      </c>
      <c r="S4" s="97">
        <f>DATE(PPFirstYear+8,MONTH('Input|General'!$G$9),1)</f>
        <v>46905</v>
      </c>
      <c r="T4" s="97">
        <f>DATE(PPFirstYear+9,MONTH('Input|General'!$G$9),1)</f>
        <v>47270</v>
      </c>
      <c r="U4" s="97">
        <f>DATE(PPFirstYear+10,MONTH('Input|General'!$G$9),1)</f>
        <v>47635</v>
      </c>
      <c r="V4" s="62"/>
      <c r="W4" s="62"/>
      <c r="X4" s="63"/>
      <c r="Y4" s="64"/>
      <c r="Z4" s="64"/>
      <c r="AA4" s="64"/>
      <c r="AB4" s="64"/>
      <c r="AC4" s="64"/>
      <c r="AD4" s="64"/>
      <c r="AE4" s="64"/>
      <c r="AF4" s="64"/>
      <c r="AG4" s="65"/>
      <c r="AH4" s="65"/>
    </row>
    <row r="5" spans="1:34" s="6" customFormat="1" ht="3" customHeight="1">
      <c r="A5" s="153"/>
      <c r="B5" s="153"/>
      <c r="C5" s="153"/>
      <c r="D5" s="154"/>
      <c r="E5" s="154"/>
      <c r="F5" s="154"/>
      <c r="G5" s="154"/>
      <c r="H5" s="154"/>
      <c r="I5" s="154"/>
      <c r="J5" s="154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</row>
    <row r="6" spans="1:34" s="6" customFormat="1" ht="9" customHeight="1">
      <c r="A6" s="153"/>
      <c r="B6" s="153"/>
      <c r="C6" s="153"/>
      <c r="D6" s="154"/>
      <c r="E6" s="154"/>
      <c r="F6" s="154"/>
      <c r="G6" s="154"/>
      <c r="H6" s="154"/>
      <c r="I6" s="154"/>
      <c r="J6" s="154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</row>
    <row r="7" spans="1:34" s="6" customFormat="1" ht="3" customHeight="1">
      <c r="A7" s="153"/>
      <c r="B7" s="153"/>
      <c r="C7" s="153"/>
      <c r="D7" s="154"/>
      <c r="E7" s="154"/>
      <c r="F7" s="154"/>
      <c r="G7" s="154"/>
      <c r="H7" s="154"/>
      <c r="I7" s="154"/>
      <c r="J7" s="154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</row>
    <row r="8" spans="1:34" customFormat="1" ht="12.3">
      <c r="A8" s="34"/>
      <c r="B8" s="40" t="s">
        <v>7</v>
      </c>
      <c r="C8" s="34"/>
      <c r="D8" s="34"/>
      <c r="E8" s="34"/>
      <c r="F8" s="125"/>
      <c r="G8" s="125"/>
      <c r="H8" s="125"/>
      <c r="I8" s="125"/>
      <c r="J8" s="125"/>
      <c r="K8" s="36"/>
      <c r="L8" s="126"/>
      <c r="M8" s="36"/>
      <c r="N8" s="126"/>
      <c r="O8" s="36"/>
      <c r="P8" s="36"/>
      <c r="Q8" s="36"/>
      <c r="R8" s="36"/>
      <c r="S8" s="36"/>
      <c r="T8" s="36"/>
      <c r="U8" s="36"/>
      <c r="V8" s="36"/>
      <c r="W8" s="36"/>
      <c r="X8" s="37"/>
      <c r="Y8" s="38"/>
      <c r="Z8" s="38"/>
      <c r="AA8" s="38"/>
      <c r="AB8" s="38"/>
      <c r="AC8" s="38"/>
      <c r="AD8" s="38"/>
      <c r="AE8" s="38"/>
      <c r="AF8" s="38"/>
      <c r="AG8" s="39"/>
      <c r="AH8" s="39"/>
    </row>
    <row r="9" spans="1:34" ht="11.25" customHeight="1" outlineLevel="1">
      <c r="A9" s="17"/>
      <c r="B9" s="17"/>
      <c r="C9" s="17"/>
      <c r="D9" s="127"/>
      <c r="E9" s="127"/>
      <c r="F9" s="127"/>
      <c r="G9" s="127"/>
      <c r="H9" s="127"/>
      <c r="I9" s="127"/>
      <c r="J9" s="12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34" ht="11.25" customHeight="1" outlineLevel="1">
      <c r="A10" s="17"/>
      <c r="B10" s="17"/>
      <c r="C10" s="129" t="s">
        <v>125</v>
      </c>
      <c r="D10" s="127"/>
      <c r="E10" s="127"/>
      <c r="F10" s="127"/>
      <c r="G10" s="127"/>
      <c r="H10" s="127"/>
      <c r="I10" s="127"/>
      <c r="J10" s="130">
        <f t="shared" ref="J10:T10" si="0">IF(YEAR(J$4)&lt;=PPLastYear,J$4,"")</f>
        <v>43617</v>
      </c>
      <c r="K10" s="130">
        <f t="shared" si="0"/>
        <v>43983</v>
      </c>
      <c r="L10" s="130">
        <f t="shared" si="0"/>
        <v>44348</v>
      </c>
      <c r="M10" s="130">
        <f t="shared" si="0"/>
        <v>44713</v>
      </c>
      <c r="N10" s="130">
        <f t="shared" si="0"/>
        <v>45078</v>
      </c>
      <c r="O10" s="130">
        <f t="shared" si="0"/>
        <v>45444</v>
      </c>
      <c r="P10" s="130" t="str">
        <f t="shared" si="0"/>
        <v/>
      </c>
      <c r="Q10" s="130" t="str">
        <f t="shared" si="0"/>
        <v/>
      </c>
      <c r="R10" s="130" t="str">
        <f t="shared" si="0"/>
        <v/>
      </c>
      <c r="S10" s="130" t="str">
        <f t="shared" si="0"/>
        <v/>
      </c>
      <c r="T10" s="130" t="str">
        <f t="shared" si="0"/>
        <v/>
      </c>
      <c r="U10" s="145"/>
      <c r="V10" s="17"/>
      <c r="W10" s="17"/>
    </row>
    <row r="11" spans="1:34" ht="11.25" customHeight="1" outlineLevel="1">
      <c r="A11" s="17"/>
      <c r="B11" s="17"/>
      <c r="C11" s="129"/>
      <c r="D11" s="127"/>
      <c r="E11" s="127"/>
      <c r="F11" s="127"/>
      <c r="G11" s="127"/>
      <c r="H11" s="127"/>
      <c r="I11" s="127"/>
      <c r="J11" s="17"/>
      <c r="K11" s="17"/>
      <c r="L11" s="17"/>
      <c r="M11" s="17"/>
      <c r="N11" s="17"/>
      <c r="O11" s="17"/>
      <c r="P11" s="155"/>
      <c r="Q11" s="155"/>
      <c r="R11" s="155"/>
      <c r="S11" s="155"/>
      <c r="T11" s="155"/>
      <c r="U11" s="155"/>
      <c r="V11" s="156"/>
      <c r="W11" s="156"/>
      <c r="X11" s="14"/>
    </row>
    <row r="12" spans="1:34" ht="11.25" customHeight="1" outlineLevel="1">
      <c r="A12" s="17"/>
      <c r="B12" s="17"/>
      <c r="C12" s="132" t="s">
        <v>125</v>
      </c>
      <c r="D12" s="157" t="s">
        <v>126</v>
      </c>
      <c r="E12" s="127" t="str">
        <f>percent</f>
        <v>Per cent</v>
      </c>
      <c r="F12" s="127"/>
      <c r="G12" s="127"/>
      <c r="H12" s="127"/>
      <c r="I12" s="127"/>
      <c r="J12" s="155">
        <f>IF(J10=J4,LOOKUP(EOMONTH(J4,0),'Input|Inflation'!$C$9:$C$78,'Input|Inflation'!$I$9:$I$78),"")</f>
        <v>1.5929203539823078E-2</v>
      </c>
      <c r="K12" s="155">
        <f>IF(K10=K4,LOOKUP(EOMONTH(K4,0),'Input|Inflation'!$C$9:$C$78,'Input|Inflation'!$I$9:$I$78),"")</f>
        <v>-3.4843205574912606E-3</v>
      </c>
      <c r="L12" s="155">
        <f>IF(L10=L4,LOOKUP(EOMONTH(L4,0),'Input|Inflation'!$C$9:$C$78,'Input|Inflation'!$I$9:$I$78),"")</f>
        <v>3.8461538461538325E-2</v>
      </c>
      <c r="M12" s="155">
        <f>IF(M10=M4,LOOKUP(EOMONTH(M4,0),'Input|Inflation'!$C$9:$C$78,'Input|Inflation'!$I$9:$I$78),"")</f>
        <v>6.1447811447811418E-2</v>
      </c>
      <c r="N12" s="155">
        <f>IF(N10=N4,LOOKUP(EOMONTH(N4,0),'Input|Inflation'!$C$9:$C$78,'Input|Inflation'!$I$9:$I$78),"")</f>
        <v>6.0269627279936566E-2</v>
      </c>
      <c r="O12" s="155">
        <f>IF(O10=O4,LOOKUP(EOMONTH(O4,0),'Input|Inflation'!$C$9:$C$78,'Input|Inflation'!$I$9:$I$78),"")</f>
        <v>3.8145100972326373E-2</v>
      </c>
      <c r="P12" s="155" t="str">
        <f>IF(P10=P4,LOOKUP(EOMONTH(P4,0),'Input|Inflation'!$C$9:$C$78,'Input|Inflation'!$I$9:$I$78),"")</f>
        <v/>
      </c>
      <c r="Q12" s="155" t="str">
        <f>IF(Q10=Q4,LOOKUP(EOMONTH(Q4,0),'Input|Inflation'!$C$9:$C$78,'Input|Inflation'!$I$9:$I$78),"")</f>
        <v/>
      </c>
      <c r="R12" s="155" t="str">
        <f>IF(R10=R4,LOOKUP(EOMONTH(R4,0),'Input|Inflation'!$C$9:$C$78,'Input|Inflation'!$I$9:$I$78),"")</f>
        <v/>
      </c>
      <c r="S12" s="155" t="str">
        <f>IF(S10=S4,LOOKUP(EOMONTH(S4,0),'Input|Inflation'!$C$9:$C$78,'Input|Inflation'!$I$9:$I$78),"")</f>
        <v/>
      </c>
      <c r="T12" s="155" t="str">
        <f>IF(T10=T4,LOOKUP(EOMONTH(T4,0),'Input|Inflation'!$C$9:$C$78,'Input|Inflation'!$I$9:$I$78),"")</f>
        <v/>
      </c>
      <c r="U12" s="155"/>
      <c r="V12" s="158"/>
      <c r="W12" s="17"/>
    </row>
    <row r="13" spans="1:34" ht="11.25" customHeight="1" outlineLevel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34" ht="11.25" customHeight="1" outlineLevel="1">
      <c r="A14" s="17"/>
      <c r="B14" s="17"/>
      <c r="C14" s="129" t="s">
        <v>127</v>
      </c>
      <c r="D14" s="127"/>
      <c r="E14" s="127"/>
      <c r="F14" s="127"/>
      <c r="G14" s="127"/>
      <c r="H14" s="127"/>
      <c r="I14" s="17"/>
      <c r="J14" s="130">
        <f t="shared" ref="J14:T14" si="1">IF(YEAR(J$4)&lt;=PPLastYear,J$4,"")</f>
        <v>43617</v>
      </c>
      <c r="K14" s="130">
        <f t="shared" si="1"/>
        <v>43983</v>
      </c>
      <c r="L14" s="130">
        <f t="shared" si="1"/>
        <v>44348</v>
      </c>
      <c r="M14" s="130">
        <f t="shared" si="1"/>
        <v>44713</v>
      </c>
      <c r="N14" s="130">
        <f t="shared" si="1"/>
        <v>45078</v>
      </c>
      <c r="O14" s="130">
        <f t="shared" si="1"/>
        <v>45444</v>
      </c>
      <c r="P14" s="130" t="str">
        <f t="shared" si="1"/>
        <v/>
      </c>
      <c r="Q14" s="130" t="str">
        <f t="shared" si="1"/>
        <v/>
      </c>
      <c r="R14" s="130" t="str">
        <f t="shared" si="1"/>
        <v/>
      </c>
      <c r="S14" s="130" t="str">
        <f t="shared" si="1"/>
        <v/>
      </c>
      <c r="T14" s="130" t="str">
        <f t="shared" si="1"/>
        <v/>
      </c>
      <c r="U14" s="145"/>
      <c r="V14" s="17"/>
      <c r="W14" s="17"/>
    </row>
    <row r="15" spans="1:34" ht="11.25" customHeight="1" outlineLevel="1">
      <c r="A15" s="17"/>
      <c r="B15" s="17"/>
      <c r="C15" s="129"/>
      <c r="D15" s="127"/>
      <c r="E15" s="127"/>
      <c r="F15" s="127"/>
      <c r="G15" s="127"/>
      <c r="H15" s="127"/>
      <c r="I15" s="17"/>
      <c r="J15" s="156"/>
      <c r="K15" s="156"/>
      <c r="L15" s="156"/>
      <c r="M15" s="156"/>
      <c r="N15" s="156"/>
      <c r="O15" s="156"/>
      <c r="P15" s="159"/>
      <c r="Q15" s="159"/>
      <c r="R15" s="159"/>
      <c r="S15" s="159"/>
      <c r="T15" s="159"/>
      <c r="U15" s="159"/>
      <c r="V15" s="17"/>
      <c r="W15" s="17"/>
    </row>
    <row r="16" spans="1:34" ht="11.25" customHeight="1" outlineLevel="1">
      <c r="A16" s="17"/>
      <c r="B16" s="17"/>
      <c r="C16" s="160">
        <f t="array" ref="C16:C22">TRANSPOSE(J10:P10)</f>
        <v>43617</v>
      </c>
      <c r="D16" s="157" t="str">
        <f t="shared" ref="D16:D20" si="2">IF(ISNONTEXT($C16),"calculated","")</f>
        <v>calculated</v>
      </c>
      <c r="E16" s="127" t="str">
        <f>IF(ISNONTEXT($C16),"index","")</f>
        <v>index</v>
      </c>
      <c r="F16" s="127"/>
      <c r="G16" s="127"/>
      <c r="H16" s="127"/>
      <c r="I16" s="127"/>
      <c r="J16" s="161">
        <f>IF(AND($C16&gt;J$14,ISNONTEXT($C16)),K16/(1+K$12),IF(AND($C16=J$14,J$14=J$4),1,IF(AND($C16&lt;J$14,J$14=J$4),I16*(1+J$12),0)))</f>
        <v>1</v>
      </c>
      <c r="K16" s="161">
        <f t="shared" ref="K16:N16" si="3">IF(AND($C16&gt;K$14,ISNONTEXT($C16)),L16/(1+L$12),IF(AND($C16=K$14,K$14=K$4),1,IF(AND($C16&lt;K$14,K$14=K$4),J16*(1+K$12),0)))</f>
        <v>0.99651567944250874</v>
      </c>
      <c r="L16" s="161">
        <f t="shared" si="3"/>
        <v>1.0348432055749128</v>
      </c>
      <c r="M16" s="161">
        <f t="shared" si="3"/>
        <v>1.0984320557491287</v>
      </c>
      <c r="N16" s="161">
        <f t="shared" si="3"/>
        <v>1.1646341463414631</v>
      </c>
      <c r="O16" s="161">
        <f t="shared" ref="O16:P16" si="4">IF(AND($C16&gt;O$14,ISNONTEXT($C16)),P16/(1+O$12),IF(AND($C16=O$14,O$14=O$4),1,IF(AND($C16&lt;O$14,O$14=O$4),N16*(1+O$12),0)))</f>
        <v>1.2090592334494774</v>
      </c>
      <c r="P16" s="161">
        <f t="shared" si="4"/>
        <v>0</v>
      </c>
      <c r="Q16" s="162"/>
      <c r="R16" s="162"/>
      <c r="S16" s="162"/>
      <c r="T16" s="162"/>
      <c r="U16" s="162"/>
      <c r="V16" s="17"/>
      <c r="W16" s="17"/>
    </row>
    <row r="17" spans="1:23" ht="11.25" customHeight="1" outlineLevel="1">
      <c r="A17" s="17"/>
      <c r="B17" s="17"/>
      <c r="C17" s="160">
        <v>43983</v>
      </c>
      <c r="D17" s="157" t="str">
        <f t="shared" si="2"/>
        <v>calculated</v>
      </c>
      <c r="E17" s="127" t="str">
        <f t="shared" ref="E17:E22" si="5">IF(ISNONTEXT($C17),"index","")</f>
        <v>index</v>
      </c>
      <c r="F17" s="127"/>
      <c r="G17" s="127"/>
      <c r="H17" s="127"/>
      <c r="I17" s="161"/>
      <c r="J17" s="161">
        <f t="shared" ref="J17:N17" si="6">IF(AND($C17&gt;J$14,ISNONTEXT($C17)),K17/(1+K$12),IF(AND($C17=J$14,J$14=J$4),1,IF(AND($C17&lt;J$14,J$14=J$4),I17*(1+J$12),0)))</f>
        <v>1.0034965034965035</v>
      </c>
      <c r="K17" s="161">
        <f t="shared" si="6"/>
        <v>1</v>
      </c>
      <c r="L17" s="161">
        <f t="shared" si="6"/>
        <v>1.0384615384615383</v>
      </c>
      <c r="M17" s="161">
        <f t="shared" si="6"/>
        <v>1.1022727272727271</v>
      </c>
      <c r="N17" s="161">
        <f t="shared" si="6"/>
        <v>1.1687062937062935</v>
      </c>
      <c r="O17" s="161">
        <f t="shared" ref="O17:P17" si="7">IF(AND($C17&gt;O$14,ISNONTEXT($C17)),P17/(1+O$12),IF(AND($C17=O$14,O$14=O$4),1,IF(AND($C17&lt;O$14,O$14=O$4),N17*(1+O$12),0)))</f>
        <v>1.2132867132867133</v>
      </c>
      <c r="P17" s="161">
        <f t="shared" si="7"/>
        <v>0</v>
      </c>
      <c r="Q17" s="162"/>
      <c r="R17" s="162"/>
      <c r="S17" s="162"/>
      <c r="T17" s="162"/>
      <c r="U17" s="162"/>
      <c r="V17" s="17"/>
      <c r="W17" s="17"/>
    </row>
    <row r="18" spans="1:23" ht="11.25" customHeight="1" outlineLevel="1">
      <c r="A18" s="17"/>
      <c r="B18" s="17"/>
      <c r="C18" s="160">
        <v>44348</v>
      </c>
      <c r="D18" s="157" t="str">
        <f t="shared" si="2"/>
        <v>calculated</v>
      </c>
      <c r="E18" s="127" t="str">
        <f t="shared" si="5"/>
        <v>index</v>
      </c>
      <c r="F18" s="127"/>
      <c r="G18" s="127"/>
      <c r="H18" s="127"/>
      <c r="I18" s="161"/>
      <c r="J18" s="161">
        <f t="shared" ref="J18:N18" si="8">IF(AND($C18&gt;J$14,ISNONTEXT($C18)),K18/(1+K$12),IF(AND($C18=J$14,J$14=J$4),1,IF(AND($C18&lt;J$14,J$14=J$4),I18*(1+J$12),0)))</f>
        <v>0.96632996632996648</v>
      </c>
      <c r="K18" s="161">
        <f t="shared" si="8"/>
        <v>0.96296296296296313</v>
      </c>
      <c r="L18" s="161">
        <f t="shared" si="8"/>
        <v>1</v>
      </c>
      <c r="M18" s="161">
        <f t="shared" si="8"/>
        <v>1.0614478114478114</v>
      </c>
      <c r="N18" s="161">
        <f t="shared" si="8"/>
        <v>1.1254208754208754</v>
      </c>
      <c r="O18" s="161">
        <f t="shared" ref="O18:P18" si="9">IF(AND($C18&gt;O$14,ISNONTEXT($C18)),P18/(1+O$12),IF(AND($C18=O$14,O$14=O$4),1,IF(AND($C18&lt;O$14,O$14=O$4),N18*(1+O$12),0)))</f>
        <v>1.1683501683501687</v>
      </c>
      <c r="P18" s="161">
        <f t="shared" si="9"/>
        <v>0</v>
      </c>
      <c r="Q18" s="162"/>
      <c r="R18" s="162"/>
      <c r="S18" s="162"/>
      <c r="T18" s="162"/>
      <c r="U18" s="162"/>
      <c r="V18" s="17"/>
      <c r="W18" s="17"/>
    </row>
    <row r="19" spans="1:23" ht="11.25" customHeight="1" outlineLevel="1">
      <c r="A19" s="17"/>
      <c r="B19" s="17"/>
      <c r="C19" s="160">
        <v>44713</v>
      </c>
      <c r="D19" s="157" t="str">
        <f t="shared" si="2"/>
        <v>calculated</v>
      </c>
      <c r="E19" s="127" t="str">
        <f t="shared" si="5"/>
        <v>index</v>
      </c>
      <c r="F19" s="127"/>
      <c r="G19" s="127"/>
      <c r="H19" s="127"/>
      <c r="I19" s="161"/>
      <c r="J19" s="161">
        <f t="shared" ref="J19:N19" si="10">IF(AND($C19&gt;J$14,ISNONTEXT($C19)),K19/(1+K$12),IF(AND($C19=J$14,J$14=J$4),1,IF(AND($C19&lt;J$14,J$14=J$4),I19*(1+J$12),0)))</f>
        <v>0.91038858049167337</v>
      </c>
      <c r="K19" s="161">
        <f t="shared" si="10"/>
        <v>0.90721649484536093</v>
      </c>
      <c r="L19" s="161">
        <f t="shared" si="10"/>
        <v>0.94210943695479776</v>
      </c>
      <c r="M19" s="161">
        <f t="shared" si="10"/>
        <v>1</v>
      </c>
      <c r="N19" s="161">
        <f t="shared" si="10"/>
        <v>1.0602696272799366</v>
      </c>
      <c r="O19" s="161">
        <f t="shared" ref="O19:P19" si="11">IF(AND($C19&gt;O$14,ISNONTEXT($C19)),P19/(1+O$12),IF(AND($C19=O$14,O$14=O$4),1,IF(AND($C19&lt;O$14,O$14=O$4),N19*(1+O$12),0)))</f>
        <v>1.1007137192704206</v>
      </c>
      <c r="P19" s="161">
        <f t="shared" si="11"/>
        <v>0</v>
      </c>
      <c r="Q19" s="162"/>
      <c r="R19" s="162"/>
      <c r="S19" s="162"/>
      <c r="T19" s="162"/>
      <c r="U19" s="162"/>
      <c r="V19" s="17"/>
      <c r="W19" s="17"/>
    </row>
    <row r="20" spans="1:23" ht="11.25" customHeight="1" outlineLevel="1">
      <c r="A20" s="17"/>
      <c r="B20" s="17"/>
      <c r="C20" s="160">
        <v>45078</v>
      </c>
      <c r="D20" s="157" t="str">
        <f t="shared" si="2"/>
        <v>calculated</v>
      </c>
      <c r="E20" s="127" t="str">
        <f t="shared" si="5"/>
        <v>index</v>
      </c>
      <c r="F20" s="127"/>
      <c r="G20" s="127"/>
      <c r="H20" s="127"/>
      <c r="I20" s="161"/>
      <c r="J20" s="161">
        <f>IF(AND($C20&gt;J$14,ISNONTEXT($C20)),K20/(1+K$12),IF(AND($C20=J$14,J$14=J$4),1,IF(AND($C20&lt;J$14,J$14=J$4),I20*(1+J$12),0)))</f>
        <v>0.85863874345549751</v>
      </c>
      <c r="K20" s="161">
        <f t="shared" ref="K20:N20" si="12">IF(AND($C20&gt;K$14,ISNONTEXT($C20)),L20/(1+L$12),IF(AND($C20=K$14,K$14=K$4),1,IF(AND($C20&lt;K$14,K$14=K$4),J20*(1+K$12),0)))</f>
        <v>0.85564697083021701</v>
      </c>
      <c r="L20" s="161">
        <f t="shared" si="12"/>
        <v>0.88855646970830215</v>
      </c>
      <c r="M20" s="161">
        <f t="shared" si="12"/>
        <v>0.94315632011967088</v>
      </c>
      <c r="N20" s="161">
        <f t="shared" si="12"/>
        <v>1</v>
      </c>
      <c r="O20" s="161">
        <f t="shared" ref="O20:P20" si="13">IF(AND($C20&gt;O$14,ISNONTEXT($C20)),P20/(1+O$12),IF(AND($C20=O$14,O$14=O$4),1,IF(AND($C20&lt;O$14,O$14=O$4),N20*(1+O$12),0)))</f>
        <v>1.0381451009723264</v>
      </c>
      <c r="P20" s="161">
        <f t="shared" si="13"/>
        <v>0</v>
      </c>
      <c r="Q20" s="162"/>
      <c r="R20" s="162"/>
      <c r="S20" s="162"/>
      <c r="T20" s="162"/>
      <c r="U20" s="162"/>
      <c r="V20" s="17"/>
      <c r="W20" s="17"/>
    </row>
    <row r="21" spans="1:23" ht="11.25" customHeight="1" outlineLevel="1">
      <c r="A21" s="17"/>
      <c r="B21" s="17"/>
      <c r="C21" s="160">
        <v>45444</v>
      </c>
      <c r="D21" s="157" t="str">
        <f>IF(ISNONTEXT($C21),"calculated","")</f>
        <v>calculated</v>
      </c>
      <c r="E21" s="127" t="str">
        <f t="shared" si="5"/>
        <v>index</v>
      </c>
      <c r="F21" s="127"/>
      <c r="G21" s="127"/>
      <c r="H21" s="127"/>
      <c r="I21" s="161"/>
      <c r="J21" s="161">
        <f>IF(AND($C21&gt;J$14,ISNONTEXT($C21)),K21/(1+K$12),IF(AND($C21=J$14,J$14=J$4),1,IF(AND($C21&lt;J$14,J$14=J$4),I21*(1+J$12),0)))</f>
        <v>0.82708933717579236</v>
      </c>
      <c r="K21" s="161">
        <f t="shared" ref="K21:K22" si="14">IF(AND($C21&gt;K$14,ISNONTEXT($C21)),L21/(1+L$12),IF(AND($C21=K$14,K$14=K$4),1,IF(AND($C21&lt;K$14,K$14=K$4),J21*(1+K$12),0)))</f>
        <v>0.82420749279538896</v>
      </c>
      <c r="L21" s="161">
        <f t="shared" ref="L21:L22" si="15">IF(AND($C21&gt;L$14,ISNONTEXT($C21)),M21/(1+M$12),IF(AND($C21=L$14,L$14=L$4),1,IF(AND($C21&lt;L$14,L$14=L$4),K21*(1+L$12),0)))</f>
        <v>0.85590778097982689</v>
      </c>
      <c r="M21" s="161">
        <f t="shared" ref="M21:M22" si="16">IF(AND($C21&gt;M$14,ISNONTEXT($C21)),N21/(1+N$12),IF(AND($C21=M$14,M$14=M$4),1,IF(AND($C21&lt;M$14,M$14=M$4),L21*(1+M$12),0)))</f>
        <v>0.90850144092218998</v>
      </c>
      <c r="N21" s="161">
        <f t="shared" ref="N21:N22" si="17">IF(AND($C21&gt;N$14,ISNONTEXT($C21)),O21/(1+O$12),IF(AND($C21=N$14,N$14=N$4),1,IF(AND($C21&lt;N$14,N$14=N$4),M21*(1+N$12),0)))</f>
        <v>0.96325648414985565</v>
      </c>
      <c r="O21" s="161">
        <f t="shared" ref="O21:P21" si="18">IF(AND($C21&gt;O$14,ISNONTEXT($C21)),P21/(1+O$12),IF(AND($C21=O$14,O$14=O$4),1,IF(AND($C21&lt;O$14,O$14=O$4),N21*(1+O$12),0)))</f>
        <v>1</v>
      </c>
      <c r="P21" s="161">
        <f t="shared" si="18"/>
        <v>0</v>
      </c>
      <c r="Q21" s="162"/>
      <c r="R21" s="162"/>
      <c r="S21" s="162"/>
      <c r="T21" s="162"/>
      <c r="U21" s="162"/>
      <c r="V21" s="17"/>
      <c r="W21" s="17"/>
    </row>
    <row r="22" spans="1:23" ht="11.25" customHeight="1" outlineLevel="1">
      <c r="A22" s="17"/>
      <c r="B22" s="17"/>
      <c r="C22" s="160" t="str">
        <v/>
      </c>
      <c r="D22" s="157" t="str">
        <f>IF(ISNONTEXT($C22),"calculated","")</f>
        <v/>
      </c>
      <c r="E22" s="127" t="str">
        <f t="shared" si="5"/>
        <v/>
      </c>
      <c r="F22" s="127"/>
      <c r="G22" s="127"/>
      <c r="H22" s="127"/>
      <c r="I22" s="161"/>
      <c r="J22" s="161">
        <f>IF(AND($C22&gt;J$14,ISNONTEXT($C22)),K22/(1+K$12),IF(AND($C22=J$14,J$14=J$4),1,IF(AND($C22&lt;J$14,J$14=J$4),I22*(1+J$12),0)))</f>
        <v>0</v>
      </c>
      <c r="K22" s="161">
        <f t="shared" si="14"/>
        <v>0</v>
      </c>
      <c r="L22" s="161">
        <f t="shared" si="15"/>
        <v>0</v>
      </c>
      <c r="M22" s="161">
        <f t="shared" si="16"/>
        <v>0</v>
      </c>
      <c r="N22" s="161">
        <f t="shared" si="17"/>
        <v>0</v>
      </c>
      <c r="O22" s="161">
        <f t="shared" ref="O22:P22" si="19">IF(AND($C22&gt;O$14,ISNONTEXT($C22)),P22/(1+P$12),IF(AND($C22=O$14,O$14=O$4),1,IF(AND($C22&lt;O$14,O$14=O$4),N22*(1+O$12),0)))</f>
        <v>0</v>
      </c>
      <c r="P22" s="161">
        <f t="shared" si="19"/>
        <v>0</v>
      </c>
      <c r="Q22" s="162"/>
      <c r="R22" s="162"/>
      <c r="S22" s="162"/>
      <c r="T22" s="162"/>
      <c r="U22" s="162"/>
      <c r="V22" s="17"/>
      <c r="W22" s="17"/>
    </row>
    <row r="23" spans="1:23" ht="11.25" customHeight="1" outlineLevel="1">
      <c r="A23" s="17"/>
      <c r="B23" s="17"/>
      <c r="C23" s="132"/>
      <c r="D23" s="127"/>
      <c r="E23" s="127"/>
      <c r="F23" s="127"/>
      <c r="G23" s="127"/>
      <c r="H23" s="127"/>
      <c r="I23" s="127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7"/>
      <c r="W23" s="17"/>
    </row>
    <row r="24" spans="1:23" ht="11.25" customHeight="1" outlineLevel="1">
      <c r="A24" s="17"/>
      <c r="B24" s="17"/>
      <c r="C24" s="129" t="s">
        <v>128</v>
      </c>
      <c r="D24" s="127"/>
      <c r="E24" s="127"/>
      <c r="F24" s="127"/>
      <c r="G24" s="127"/>
      <c r="H24" s="127"/>
      <c r="I24" s="127"/>
      <c r="J24" s="130">
        <f t="shared" ref="J24:T24" si="20">IF(YEAR(J$4)&lt;=PPLastYear,J$4,"")</f>
        <v>43617</v>
      </c>
      <c r="K24" s="130">
        <f t="shared" si="20"/>
        <v>43983</v>
      </c>
      <c r="L24" s="130">
        <f t="shared" si="20"/>
        <v>44348</v>
      </c>
      <c r="M24" s="130">
        <f t="shared" si="20"/>
        <v>44713</v>
      </c>
      <c r="N24" s="130">
        <f t="shared" si="20"/>
        <v>45078</v>
      </c>
      <c r="O24" s="130">
        <f t="shared" si="20"/>
        <v>45444</v>
      </c>
      <c r="P24" s="130" t="str">
        <f t="shared" si="20"/>
        <v/>
      </c>
      <c r="Q24" s="130" t="str">
        <f t="shared" si="20"/>
        <v/>
      </c>
      <c r="R24" s="130" t="str">
        <f t="shared" si="20"/>
        <v/>
      </c>
      <c r="S24" s="130" t="str">
        <f t="shared" si="20"/>
        <v/>
      </c>
      <c r="T24" s="130" t="str">
        <f t="shared" si="20"/>
        <v/>
      </c>
      <c r="U24" s="145"/>
      <c r="V24" s="17"/>
      <c r="W24" s="17"/>
    </row>
    <row r="25" spans="1:23" ht="11.25" customHeight="1" outlineLevel="1">
      <c r="A25" s="17"/>
      <c r="B25" s="17"/>
      <c r="C25" s="132"/>
      <c r="D25" s="127"/>
      <c r="E25" s="127"/>
      <c r="F25" s="127"/>
      <c r="G25" s="127"/>
      <c r="H25" s="127"/>
      <c r="I25" s="127"/>
      <c r="J25" s="17"/>
      <c r="K25" s="17"/>
      <c r="L25" s="17"/>
      <c r="M25" s="17"/>
      <c r="N25" s="17"/>
      <c r="O25" s="17"/>
      <c r="P25" s="17"/>
      <c r="Q25" s="161"/>
      <c r="R25" s="161"/>
      <c r="S25" s="161"/>
      <c r="T25" s="161"/>
      <c r="U25" s="161"/>
      <c r="V25" s="17"/>
      <c r="W25" s="17"/>
    </row>
    <row r="26" spans="1:23" ht="11.25" customHeight="1" outlineLevel="1">
      <c r="A26" s="17"/>
      <c r="B26" s="17"/>
      <c r="C26" s="160">
        <f t="array" ref="C26:C32">TRANSPOSE(J10:P10)</f>
        <v>43617</v>
      </c>
      <c r="D26" s="157" t="str">
        <f t="shared" ref="D26:D32" si="21">IF(ISNONTEXT($C26),"calculated","")</f>
        <v>calculated</v>
      </c>
      <c r="E26" s="127" t="str">
        <f>IF(ISNONTEXT($C26),"index","")</f>
        <v>index</v>
      </c>
      <c r="F26" s="127"/>
      <c r="G26" s="127"/>
      <c r="H26" s="127"/>
      <c r="I26" s="161"/>
      <c r="J26" s="161">
        <f>IF(AND(J$24=J$4,ISNONTEXT($C26)),1/J16*(1+J$12)^0.5,0)</f>
        <v>1.0079331344587412</v>
      </c>
      <c r="K26" s="161">
        <f t="shared" ref="K26:T26" si="22">IF(AND(K$24=K$4,ISNONTEXT($C26)),1/K16*(1+K$12)^0.5,0)</f>
        <v>1.0017467262220046</v>
      </c>
      <c r="L26" s="161">
        <f t="shared" si="22"/>
        <v>0.98473790545302708</v>
      </c>
      <c r="M26" s="161">
        <f t="shared" si="22"/>
        <v>0.93794230437362447</v>
      </c>
      <c r="N26" s="161">
        <f t="shared" si="22"/>
        <v>0.88413511795969557</v>
      </c>
      <c r="O26" s="161">
        <f t="shared" si="22"/>
        <v>0.84271641089874527</v>
      </c>
      <c r="P26" s="161">
        <f t="shared" si="22"/>
        <v>0</v>
      </c>
      <c r="Q26" s="161">
        <f t="shared" si="22"/>
        <v>0</v>
      </c>
      <c r="R26" s="161">
        <f t="shared" si="22"/>
        <v>0</v>
      </c>
      <c r="S26" s="161">
        <f t="shared" si="22"/>
        <v>0</v>
      </c>
      <c r="T26" s="161">
        <f t="shared" si="22"/>
        <v>0</v>
      </c>
      <c r="U26" s="161"/>
      <c r="V26" s="163"/>
      <c r="W26" s="163"/>
    </row>
    <row r="27" spans="1:23" ht="11.25" customHeight="1" outlineLevel="1">
      <c r="A27" s="17"/>
      <c r="B27" s="17"/>
      <c r="C27" s="160">
        <v>43983</v>
      </c>
      <c r="D27" s="157" t="str">
        <f t="shared" si="21"/>
        <v>calculated</v>
      </c>
      <c r="E27" s="127" t="str">
        <f t="shared" ref="E27:E32" si="23">IF(ISNONTEXT($C27),"index","")</f>
        <v>index</v>
      </c>
      <c r="F27" s="127"/>
      <c r="G27" s="127"/>
      <c r="H27" s="127"/>
      <c r="I27" s="161"/>
      <c r="J27" s="161">
        <f t="shared" ref="J27:T27" si="24">IF(AND(J$24=J$4,ISNONTEXT($C27)),1/J17*(1+J$12)^0.5,0)</f>
        <v>1.0044211723177698</v>
      </c>
      <c r="K27" s="161">
        <f t="shared" si="24"/>
        <v>0.99825631951042948</v>
      </c>
      <c r="L27" s="161">
        <f t="shared" si="24"/>
        <v>0.98130676292531638</v>
      </c>
      <c r="M27" s="161">
        <f t="shared" si="24"/>
        <v>0.93467421272075479</v>
      </c>
      <c r="N27" s="161">
        <f t="shared" si="24"/>
        <v>0.88105450779258843</v>
      </c>
      <c r="O27" s="161">
        <f t="shared" si="24"/>
        <v>0.83978011678411546</v>
      </c>
      <c r="P27" s="161">
        <f t="shared" si="24"/>
        <v>0</v>
      </c>
      <c r="Q27" s="161">
        <f t="shared" si="24"/>
        <v>0</v>
      </c>
      <c r="R27" s="161">
        <f t="shared" si="24"/>
        <v>0</v>
      </c>
      <c r="S27" s="161">
        <f t="shared" si="24"/>
        <v>0</v>
      </c>
      <c r="T27" s="161">
        <f t="shared" si="24"/>
        <v>0</v>
      </c>
      <c r="U27" s="161"/>
      <c r="V27" s="163"/>
      <c r="W27" s="163"/>
    </row>
    <row r="28" spans="1:23" ht="11.25" customHeight="1" outlineLevel="1">
      <c r="A28" s="17"/>
      <c r="B28" s="17"/>
      <c r="C28" s="160">
        <v>44348</v>
      </c>
      <c r="D28" s="157" t="str">
        <f t="shared" si="21"/>
        <v>calculated</v>
      </c>
      <c r="E28" s="127" t="str">
        <f t="shared" si="23"/>
        <v>index</v>
      </c>
      <c r="F28" s="127"/>
      <c r="G28" s="127"/>
      <c r="H28" s="127"/>
      <c r="I28" s="161"/>
      <c r="J28" s="161">
        <f t="shared" ref="J28:T28" si="25">IF(AND(J$24=J$4,ISNONTEXT($C28)),1/J18*(1+J$12)^0.5,0)</f>
        <v>1.0430527558684535</v>
      </c>
      <c r="K28" s="161">
        <f t="shared" si="25"/>
        <v>1.0366507933377536</v>
      </c>
      <c r="L28" s="161">
        <f t="shared" si="25"/>
        <v>1.019049330730136</v>
      </c>
      <c r="M28" s="161">
        <f t="shared" si="25"/>
        <v>0.970623220902322</v>
      </c>
      <c r="N28" s="161">
        <f t="shared" si="25"/>
        <v>0.9149412196307648</v>
      </c>
      <c r="O28" s="161">
        <f t="shared" si="25"/>
        <v>0.87207935204504272</v>
      </c>
      <c r="P28" s="161">
        <f t="shared" si="25"/>
        <v>0</v>
      </c>
      <c r="Q28" s="161">
        <f t="shared" si="25"/>
        <v>0</v>
      </c>
      <c r="R28" s="161">
        <f t="shared" si="25"/>
        <v>0</v>
      </c>
      <c r="S28" s="161">
        <f t="shared" si="25"/>
        <v>0</v>
      </c>
      <c r="T28" s="161">
        <f t="shared" si="25"/>
        <v>0</v>
      </c>
      <c r="U28" s="161"/>
      <c r="V28" s="163"/>
      <c r="W28" s="163"/>
    </row>
    <row r="29" spans="1:23" ht="11.25" customHeight="1" outlineLevel="1">
      <c r="A29" s="17"/>
      <c r="B29" s="17"/>
      <c r="C29" s="160">
        <v>44713</v>
      </c>
      <c r="D29" s="157" t="str">
        <f t="shared" si="21"/>
        <v>calculated</v>
      </c>
      <c r="E29" s="127" t="str">
        <f t="shared" si="23"/>
        <v>index</v>
      </c>
      <c r="F29" s="127"/>
      <c r="G29" s="127"/>
      <c r="H29" s="127"/>
      <c r="I29" s="161"/>
      <c r="J29" s="161">
        <f t="shared" ref="J29:T29" si="26">IF(AND(J$24=J$4,ISNONTEXT($C29)),1/J19*(1+J$12)^0.5,0)</f>
        <v>1.1071460649411782</v>
      </c>
      <c r="K29" s="161">
        <f t="shared" si="26"/>
        <v>1.100350715823996</v>
      </c>
      <c r="L29" s="161">
        <f t="shared" si="26"/>
        <v>1.0816676818608599</v>
      </c>
      <c r="M29" s="161">
        <f t="shared" si="26"/>
        <v>1.0302658935671953</v>
      </c>
      <c r="N29" s="161">
        <f t="shared" si="26"/>
        <v>0.97116235518046667</v>
      </c>
      <c r="O29" s="161">
        <f t="shared" si="26"/>
        <v>0.92566671963703617</v>
      </c>
      <c r="P29" s="161">
        <f t="shared" si="26"/>
        <v>0</v>
      </c>
      <c r="Q29" s="161">
        <f t="shared" si="26"/>
        <v>0</v>
      </c>
      <c r="R29" s="161">
        <f t="shared" si="26"/>
        <v>0</v>
      </c>
      <c r="S29" s="161">
        <f t="shared" si="26"/>
        <v>0</v>
      </c>
      <c r="T29" s="161">
        <f t="shared" si="26"/>
        <v>0</v>
      </c>
      <c r="U29" s="161"/>
      <c r="V29" s="163"/>
      <c r="W29" s="163"/>
    </row>
    <row r="30" spans="1:23" ht="11.25" customHeight="1" outlineLevel="1">
      <c r="A30" s="17"/>
      <c r="B30" s="17"/>
      <c r="C30" s="160">
        <v>45078</v>
      </c>
      <c r="D30" s="157" t="str">
        <f t="shared" si="21"/>
        <v>calculated</v>
      </c>
      <c r="E30" s="127" t="str">
        <f t="shared" si="23"/>
        <v>index</v>
      </c>
      <c r="F30" s="127"/>
      <c r="G30" s="127"/>
      <c r="H30" s="127"/>
      <c r="I30" s="161"/>
      <c r="J30" s="161">
        <f t="shared" ref="J30:T30" si="27">IF(AND(J$24=J$4,ISNONTEXT($C30)),1/J20*(1+J$12)^0.5,0)</f>
        <v>1.1738733456196315</v>
      </c>
      <c r="K30" s="161">
        <f t="shared" si="27"/>
        <v>1.1666684433439196</v>
      </c>
      <c r="L30" s="161">
        <f t="shared" si="27"/>
        <v>1.1468593898873669</v>
      </c>
      <c r="M30" s="161">
        <f t="shared" si="27"/>
        <v>1.0923596349717211</v>
      </c>
      <c r="N30" s="161">
        <f t="shared" si="27"/>
        <v>1.0296939483554988</v>
      </c>
      <c r="O30" s="161">
        <f t="shared" si="27"/>
        <v>0.98145630781500182</v>
      </c>
      <c r="P30" s="161">
        <f t="shared" si="27"/>
        <v>0</v>
      </c>
      <c r="Q30" s="161">
        <f t="shared" si="27"/>
        <v>0</v>
      </c>
      <c r="R30" s="161">
        <f t="shared" si="27"/>
        <v>0</v>
      </c>
      <c r="S30" s="161">
        <f t="shared" si="27"/>
        <v>0</v>
      </c>
      <c r="T30" s="161">
        <f t="shared" si="27"/>
        <v>0</v>
      </c>
      <c r="U30" s="161"/>
      <c r="V30" s="163"/>
      <c r="W30" s="163"/>
    </row>
    <row r="31" spans="1:23" ht="11.25" customHeight="1" outlineLevel="1">
      <c r="A31" s="17"/>
      <c r="B31" s="17"/>
      <c r="C31" s="160">
        <v>45444</v>
      </c>
      <c r="D31" s="157" t="str">
        <f t="shared" si="21"/>
        <v>calculated</v>
      </c>
      <c r="E31" s="127" t="str">
        <f t="shared" si="23"/>
        <v>index</v>
      </c>
      <c r="F31" s="127"/>
      <c r="G31" s="127"/>
      <c r="H31" s="127"/>
      <c r="I31" s="161"/>
      <c r="J31" s="161">
        <f t="shared" ref="J31:T32" si="28">IF(AND(J$24=J$4,ISNONTEXT($C31)),1/J21*(1+J$12)^0.5,0)</f>
        <v>1.218650862917015</v>
      </c>
      <c r="K31" s="161">
        <f t="shared" si="28"/>
        <v>1.2111711289165001</v>
      </c>
      <c r="L31" s="161">
        <f t="shared" si="28"/>
        <v>1.1906064571156811</v>
      </c>
      <c r="M31" s="161">
        <f t="shared" si="28"/>
        <v>1.1340278035458109</v>
      </c>
      <c r="N31" s="161">
        <f t="shared" si="28"/>
        <v>1.0689717279861126</v>
      </c>
      <c r="O31" s="161">
        <f t="shared" si="28"/>
        <v>1.0188940577765317</v>
      </c>
      <c r="P31" s="161">
        <f t="shared" si="28"/>
        <v>0</v>
      </c>
      <c r="Q31" s="161">
        <f t="shared" si="28"/>
        <v>0</v>
      </c>
      <c r="R31" s="161">
        <f t="shared" si="28"/>
        <v>0</v>
      </c>
      <c r="S31" s="161">
        <f t="shared" si="28"/>
        <v>0</v>
      </c>
      <c r="T31" s="161">
        <f t="shared" si="28"/>
        <v>0</v>
      </c>
      <c r="U31" s="161"/>
      <c r="V31" s="163"/>
      <c r="W31" s="163"/>
    </row>
    <row r="32" spans="1:23" ht="11.25" customHeight="1" outlineLevel="1">
      <c r="A32" s="17"/>
      <c r="B32" s="17"/>
      <c r="C32" s="160" t="str">
        <v/>
      </c>
      <c r="D32" s="157" t="str">
        <f t="shared" si="21"/>
        <v/>
      </c>
      <c r="E32" s="127" t="str">
        <f t="shared" si="23"/>
        <v/>
      </c>
      <c r="F32" s="127"/>
      <c r="G32" s="127"/>
      <c r="H32" s="127"/>
      <c r="I32" s="161"/>
      <c r="J32" s="161">
        <f t="shared" si="28"/>
        <v>0</v>
      </c>
      <c r="K32" s="161">
        <f t="shared" si="28"/>
        <v>0</v>
      </c>
      <c r="L32" s="161">
        <f t="shared" si="28"/>
        <v>0</v>
      </c>
      <c r="M32" s="161">
        <f t="shared" si="28"/>
        <v>0</v>
      </c>
      <c r="N32" s="161">
        <f t="shared" si="28"/>
        <v>0</v>
      </c>
      <c r="O32" s="161">
        <f t="shared" si="28"/>
        <v>0</v>
      </c>
      <c r="P32" s="161">
        <f t="shared" si="28"/>
        <v>0</v>
      </c>
      <c r="Q32" s="161">
        <f t="shared" si="28"/>
        <v>0</v>
      </c>
      <c r="R32" s="161">
        <f t="shared" si="28"/>
        <v>0</v>
      </c>
      <c r="S32" s="161">
        <f t="shared" si="28"/>
        <v>0</v>
      </c>
      <c r="T32" s="161">
        <f t="shared" si="28"/>
        <v>0</v>
      </c>
      <c r="U32" s="161"/>
      <c r="V32" s="163"/>
      <c r="W32" s="163"/>
    </row>
    <row r="33" spans="1:34">
      <c r="A33" s="17"/>
      <c r="B33" s="17"/>
      <c r="C33" s="132"/>
      <c r="D33" s="127"/>
      <c r="E33" s="127"/>
      <c r="F33" s="127"/>
      <c r="G33" s="127"/>
      <c r="H33" s="127"/>
      <c r="I33" s="127"/>
      <c r="J33" s="127"/>
      <c r="K33" s="161"/>
      <c r="L33" s="161"/>
      <c r="M33" s="161"/>
      <c r="N33" s="161"/>
      <c r="O33" s="161"/>
      <c r="P33" s="159"/>
      <c r="Q33" s="161"/>
      <c r="R33" s="161"/>
      <c r="S33" s="161"/>
      <c r="T33" s="161"/>
      <c r="U33" s="161"/>
      <c r="V33" s="17"/>
      <c r="W33" s="17"/>
    </row>
    <row r="34" spans="1:34" customFormat="1" ht="12.3">
      <c r="A34" s="34"/>
      <c r="B34" s="40" t="s">
        <v>129</v>
      </c>
      <c r="C34" s="34"/>
      <c r="D34" s="34"/>
      <c r="E34" s="34"/>
      <c r="F34" s="125"/>
      <c r="G34" s="125"/>
      <c r="H34" s="125"/>
      <c r="I34" s="125"/>
      <c r="J34" s="125"/>
      <c r="K34" s="36"/>
      <c r="L34" s="126"/>
      <c r="M34" s="36"/>
      <c r="N34" s="126"/>
      <c r="O34" s="36"/>
      <c r="P34" s="36"/>
      <c r="Q34" s="36"/>
      <c r="R34" s="36"/>
      <c r="S34" s="36"/>
      <c r="T34" s="36"/>
      <c r="U34" s="36"/>
      <c r="V34" s="36"/>
      <c r="W34" s="36"/>
      <c r="X34" s="37"/>
      <c r="Y34" s="38"/>
      <c r="Z34" s="38"/>
      <c r="AA34" s="38"/>
      <c r="AB34" s="38"/>
      <c r="AC34" s="38"/>
      <c r="AD34" s="38"/>
      <c r="AE34" s="38"/>
      <c r="AF34" s="38"/>
      <c r="AG34" s="39"/>
      <c r="AH34" s="39"/>
    </row>
    <row r="35" spans="1:34" ht="11.25" customHeight="1" outlineLevel="1">
      <c r="A35" s="17"/>
      <c r="B35" s="17"/>
      <c r="C35" s="17"/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7"/>
      <c r="W35" s="17"/>
    </row>
    <row r="36" spans="1:34" ht="11.25" customHeight="1" outlineLevel="1">
      <c r="A36" s="17"/>
      <c r="B36" s="17"/>
      <c r="C36" s="129" t="s">
        <v>130</v>
      </c>
      <c r="D36" s="128" t="s">
        <v>47</v>
      </c>
      <c r="E36" s="128" t="s">
        <v>70</v>
      </c>
      <c r="F36" s="127"/>
      <c r="G36" s="127"/>
      <c r="H36" s="127"/>
      <c r="I36" s="127"/>
      <c r="J36" s="145" t="str">
        <f t="shared" ref="J36:T36" si="29">IF(YEAR(J$4)&gt;BaseYear,IF(YEAR(J$4)&lt;=FPLastYear,J$4,""),"")</f>
        <v/>
      </c>
      <c r="K36" s="145" t="str">
        <f t="shared" si="29"/>
        <v/>
      </c>
      <c r="L36" s="145" t="str">
        <f t="shared" si="29"/>
        <v/>
      </c>
      <c r="M36" s="145" t="str">
        <f t="shared" si="29"/>
        <v/>
      </c>
      <c r="N36" s="145" t="str">
        <f t="shared" si="29"/>
        <v/>
      </c>
      <c r="O36" s="145">
        <f t="shared" si="29"/>
        <v>45444</v>
      </c>
      <c r="P36" s="145">
        <f t="shared" si="29"/>
        <v>45809</v>
      </c>
      <c r="Q36" s="145">
        <f t="shared" si="29"/>
        <v>46174</v>
      </c>
      <c r="R36" s="145">
        <f t="shared" si="29"/>
        <v>46539</v>
      </c>
      <c r="S36" s="145" t="str">
        <f t="shared" si="29"/>
        <v/>
      </c>
      <c r="T36" s="145" t="str">
        <f t="shared" si="29"/>
        <v/>
      </c>
      <c r="U36" s="145" t="str">
        <f t="shared" ref="U36" si="30">IF(YEAR(U$4)&gt;=BaseYear,IF(YEAR(U$4)&lt;=FPLastYear,U$4,""),"")</f>
        <v/>
      </c>
      <c r="V36" s="17"/>
      <c r="W36" s="17"/>
    </row>
    <row r="37" spans="1:34" ht="11.25" customHeight="1" outlineLevel="1">
      <c r="A37" s="17"/>
      <c r="B37" s="17"/>
      <c r="C37" s="17"/>
      <c r="D37" s="127"/>
      <c r="E37" s="127"/>
      <c r="F37" s="127"/>
      <c r="G37" s="127"/>
      <c r="H37" s="127"/>
      <c r="I37" s="127"/>
      <c r="J37" s="12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34" ht="11.25" customHeight="1" outlineLevel="1">
      <c r="A38" s="17"/>
      <c r="B38" s="17"/>
      <c r="C38" s="134" t="s">
        <v>131</v>
      </c>
      <c r="D38" s="127" t="s">
        <v>132</v>
      </c>
      <c r="E38" s="127" t="str">
        <f t="shared" ref="E38:E45" si="31">percent</f>
        <v>Per cent</v>
      </c>
      <c r="F38" s="127"/>
      <c r="G38" s="127"/>
      <c r="H38" s="127"/>
      <c r="I38" s="127"/>
      <c r="J38" s="164"/>
      <c r="K38" s="165"/>
      <c r="L38" s="165"/>
      <c r="M38" s="165"/>
      <c r="N38" s="166"/>
      <c r="O38" s="166">
        <v>4.8142992775657145E-3</v>
      </c>
      <c r="P38" s="166">
        <v>-2.9638796949482682E-4</v>
      </c>
      <c r="Q38" s="166">
        <v>7.0992968195759953E-3</v>
      </c>
      <c r="R38" s="166">
        <v>1.1312257031328432E-2</v>
      </c>
      <c r="S38" s="166"/>
      <c r="T38" s="166"/>
      <c r="U38" s="17"/>
      <c r="V38" s="17"/>
      <c r="W38" s="196"/>
    </row>
    <row r="39" spans="1:34" ht="11.25" customHeight="1" outlineLevel="1">
      <c r="A39" s="17"/>
      <c r="B39" s="17"/>
      <c r="C39" s="168" t="s">
        <v>133</v>
      </c>
      <c r="D39" s="127" t="s">
        <v>132</v>
      </c>
      <c r="E39" s="127" t="str">
        <f t="shared" si="31"/>
        <v>Per cent</v>
      </c>
      <c r="F39" s="127"/>
      <c r="G39" s="127"/>
      <c r="H39" s="127"/>
      <c r="I39" s="127"/>
      <c r="J39" s="164"/>
      <c r="K39" s="165"/>
      <c r="L39" s="165"/>
      <c r="M39" s="165"/>
      <c r="N39" s="166"/>
      <c r="O39" s="166">
        <v>-2.0612896601224671E-3</v>
      </c>
      <c r="P39" s="166">
        <v>1.3097976523148142E-2</v>
      </c>
      <c r="Q39" s="166">
        <v>1.0812454781269416E-2</v>
      </c>
      <c r="R39" s="166">
        <v>7.790938239509093E-3</v>
      </c>
      <c r="S39" s="166"/>
      <c r="T39" s="166"/>
      <c r="U39" s="17"/>
      <c r="V39" s="17"/>
      <c r="W39" s="17"/>
    </row>
    <row r="40" spans="1:34" ht="11.25" customHeight="1" outlineLevel="1">
      <c r="A40" s="17"/>
      <c r="B40" s="17"/>
      <c r="C40" s="134" t="s">
        <v>134</v>
      </c>
      <c r="D40" s="127" t="s">
        <v>132</v>
      </c>
      <c r="E40" s="127" t="str">
        <f t="shared" si="31"/>
        <v>Per cent</v>
      </c>
      <c r="F40" s="127"/>
      <c r="G40" s="127"/>
      <c r="H40" s="127"/>
      <c r="I40" s="127"/>
      <c r="J40" s="164"/>
      <c r="K40" s="165"/>
      <c r="L40" s="165"/>
      <c r="M40" s="165"/>
      <c r="N40" s="167"/>
      <c r="O40" s="166">
        <v>1.3765048087216237E-3</v>
      </c>
      <c r="P40" s="166">
        <v>6.4007942768266575E-3</v>
      </c>
      <c r="Q40" s="166">
        <v>8.9558758004227058E-3</v>
      </c>
      <c r="R40" s="166">
        <v>9.551597635418763E-3</v>
      </c>
      <c r="S40" s="167"/>
      <c r="T40" s="167"/>
      <c r="U40" s="17"/>
      <c r="V40" s="17"/>
      <c r="W40" s="17"/>
    </row>
    <row r="41" spans="1:34" ht="11.25" customHeight="1" outlineLevel="1">
      <c r="A41" s="17"/>
      <c r="B41" s="17"/>
      <c r="C41" s="134" t="s">
        <v>135</v>
      </c>
      <c r="D41" s="127" t="s">
        <v>132</v>
      </c>
      <c r="E41" s="127" t="str">
        <f t="shared" si="31"/>
        <v>Per cent</v>
      </c>
      <c r="F41" s="127"/>
      <c r="G41" s="127"/>
      <c r="H41" s="127"/>
      <c r="I41" s="127"/>
      <c r="J41" s="164"/>
      <c r="K41" s="165"/>
      <c r="L41" s="165"/>
      <c r="M41" s="165"/>
      <c r="N41" s="167"/>
      <c r="O41" s="166">
        <v>5.0000000000000001E-3</v>
      </c>
      <c r="P41" s="166">
        <v>5.0000000000000001E-3</v>
      </c>
      <c r="Q41" s="166">
        <v>5.0000000000000001E-3</v>
      </c>
      <c r="R41" s="166">
        <v>0</v>
      </c>
      <c r="S41" s="167"/>
      <c r="T41" s="167"/>
      <c r="U41" s="169"/>
      <c r="V41" s="170"/>
      <c r="W41" s="17"/>
    </row>
    <row r="42" spans="1:34" ht="11.25" customHeight="1" outlineLevel="1">
      <c r="A42" s="17"/>
      <c r="B42" s="17"/>
      <c r="C42" s="134" t="s">
        <v>136</v>
      </c>
      <c r="D42" s="127" t="s">
        <v>132</v>
      </c>
      <c r="E42" s="127" t="str">
        <f t="shared" si="31"/>
        <v>Per cent</v>
      </c>
      <c r="F42" s="127"/>
      <c r="G42" s="127"/>
      <c r="H42" s="127"/>
      <c r="I42" s="127"/>
      <c r="J42" s="164"/>
      <c r="K42" s="165"/>
      <c r="L42" s="165"/>
      <c r="M42" s="165"/>
      <c r="N42" s="167"/>
      <c r="O42" s="166">
        <v>6.3765048087216242E-3</v>
      </c>
      <c r="P42" s="166">
        <v>1.1400794276826658E-2</v>
      </c>
      <c r="Q42" s="166">
        <v>1.3955875800422707E-2</v>
      </c>
      <c r="R42" s="166">
        <v>9.551597635418763E-3</v>
      </c>
      <c r="S42" s="167"/>
      <c r="T42" s="167"/>
      <c r="U42" s="169"/>
      <c r="V42" s="17"/>
      <c r="W42" s="17"/>
    </row>
    <row r="43" spans="1:34" ht="11.25" customHeight="1" outlineLevel="1">
      <c r="A43" s="17"/>
      <c r="B43" s="17"/>
      <c r="C43" s="134"/>
      <c r="D43" s="127" t="s">
        <v>132</v>
      </c>
      <c r="E43" s="127" t="str">
        <f t="shared" si="31"/>
        <v>Per cent</v>
      </c>
      <c r="F43" s="127"/>
      <c r="G43" s="127"/>
      <c r="H43" s="127"/>
      <c r="I43" s="127"/>
      <c r="J43" s="164"/>
      <c r="K43" s="165"/>
      <c r="L43" s="165"/>
      <c r="M43" s="165"/>
      <c r="N43" s="166"/>
      <c r="O43" s="166"/>
      <c r="P43" s="166"/>
      <c r="Q43" s="166"/>
      <c r="R43" s="166"/>
      <c r="S43" s="171"/>
      <c r="T43" s="171"/>
      <c r="U43" s="169"/>
      <c r="V43" s="17"/>
      <c r="W43" s="17"/>
    </row>
    <row r="44" spans="1:34" ht="11.25" customHeight="1" outlineLevel="1">
      <c r="A44" s="17"/>
      <c r="B44" s="17"/>
      <c r="C44" s="134"/>
      <c r="D44" s="127" t="s">
        <v>132</v>
      </c>
      <c r="E44" s="127" t="str">
        <f t="shared" si="31"/>
        <v>Per cent</v>
      </c>
      <c r="F44" s="127"/>
      <c r="G44" s="127"/>
      <c r="H44" s="127"/>
      <c r="I44" s="127"/>
      <c r="J44" s="164"/>
      <c r="K44" s="165"/>
      <c r="L44" s="165"/>
      <c r="M44" s="165"/>
      <c r="N44" s="166"/>
      <c r="O44" s="166"/>
      <c r="P44" s="166"/>
      <c r="Q44" s="166"/>
      <c r="R44" s="166"/>
      <c r="S44" s="171"/>
      <c r="T44" s="171"/>
      <c r="U44" s="169"/>
      <c r="V44" s="17"/>
      <c r="W44" s="17"/>
    </row>
    <row r="45" spans="1:34" ht="11.25" customHeight="1" outlineLevel="1">
      <c r="A45" s="17"/>
      <c r="B45" s="17"/>
      <c r="C45" s="134" t="s">
        <v>137</v>
      </c>
      <c r="D45" s="127" t="s">
        <v>132</v>
      </c>
      <c r="E45" s="127" t="str">
        <f t="shared" si="31"/>
        <v>Per cent</v>
      </c>
      <c r="F45" s="127"/>
      <c r="G45" s="127"/>
      <c r="H45" s="127"/>
      <c r="I45" s="127"/>
      <c r="J45" s="164"/>
      <c r="K45" s="165"/>
      <c r="L45" s="165"/>
      <c r="M45" s="165"/>
      <c r="N45" s="166"/>
      <c r="O45" s="166">
        <v>0</v>
      </c>
      <c r="P45" s="166">
        <v>0</v>
      </c>
      <c r="Q45" s="166">
        <v>0</v>
      </c>
      <c r="R45" s="166">
        <v>0</v>
      </c>
      <c r="S45" s="171"/>
      <c r="T45" s="171"/>
      <c r="U45" s="169"/>
      <c r="V45" s="17"/>
      <c r="W45" s="17"/>
    </row>
    <row r="46" spans="1:34" ht="11.25" customHeight="1" outlineLevel="1">
      <c r="A46" s="17"/>
      <c r="B46" s="17"/>
      <c r="C46" s="17"/>
      <c r="D46" s="127"/>
      <c r="E46" s="127"/>
      <c r="F46" s="127"/>
      <c r="G46" s="127"/>
      <c r="H46" s="127"/>
      <c r="I46" s="127"/>
      <c r="J46" s="127"/>
      <c r="K46" s="17"/>
      <c r="L46" s="17"/>
      <c r="M46" s="17"/>
      <c r="N46" s="194"/>
      <c r="O46" s="194"/>
      <c r="P46" s="194"/>
      <c r="Q46" s="194"/>
      <c r="R46" s="194"/>
      <c r="S46" s="194"/>
      <c r="T46" s="194"/>
      <c r="U46" s="17"/>
      <c r="V46" s="17"/>
      <c r="W46" s="17"/>
    </row>
    <row r="47" spans="1:34" ht="11.25" customHeight="1" outlineLevel="1">
      <c r="A47" s="17"/>
      <c r="B47" s="17"/>
      <c r="C47" s="17" t="s">
        <v>138</v>
      </c>
      <c r="D47" s="127" t="s">
        <v>126</v>
      </c>
      <c r="E47" s="127" t="s">
        <v>139</v>
      </c>
      <c r="F47" s="127" t="s">
        <v>140</v>
      </c>
      <c r="G47" s="127"/>
      <c r="H47" s="127"/>
      <c r="I47" s="127"/>
      <c r="J47" s="172" t="str">
        <f t="shared" ref="J47:S47" si="32">IF(J36=J4,IF(COUNTA($C38:$C45)=COUNT(J38:J45),"Ok","Check"),"")</f>
        <v/>
      </c>
      <c r="K47" s="172" t="str">
        <f t="shared" si="32"/>
        <v/>
      </c>
      <c r="L47" s="172" t="str">
        <f t="shared" si="32"/>
        <v/>
      </c>
      <c r="M47" s="172" t="str">
        <f t="shared" si="32"/>
        <v/>
      </c>
      <c r="N47" s="172" t="str">
        <f t="shared" si="32"/>
        <v/>
      </c>
      <c r="O47" s="172" t="str">
        <f t="shared" si="32"/>
        <v>Ok</v>
      </c>
      <c r="P47" s="172" t="str">
        <f t="shared" si="32"/>
        <v>Ok</v>
      </c>
      <c r="Q47" s="172" t="str">
        <f t="shared" si="32"/>
        <v>Ok</v>
      </c>
      <c r="R47" s="172" t="str">
        <f t="shared" si="32"/>
        <v>Ok</v>
      </c>
      <c r="S47" s="172" t="str">
        <f t="shared" si="32"/>
        <v/>
      </c>
      <c r="T47" s="172" t="str">
        <f>IF(T36=T4,IF(COUNTA($C38:$C45)=COUNT(T38:T45),"Ok","Check"),"")</f>
        <v/>
      </c>
      <c r="U47" s="172" t="str">
        <f>IF(U36=U4,IF(COUNTA($C38:$C45)=COUNT(U38:U45),"Ok","Check"),"")</f>
        <v/>
      </c>
      <c r="V47" s="173"/>
      <c r="W47" s="17"/>
      <c r="X47" s="84" t="str">
        <f>IF(COUNTIF(J47:U47,"Check")=0,"Ok","Check")</f>
        <v>Ok</v>
      </c>
    </row>
    <row r="48" spans="1:34" ht="11.25" customHeight="1" outlineLevel="1">
      <c r="A48" s="17"/>
      <c r="B48" s="17"/>
      <c r="C48" s="17"/>
      <c r="D48" s="127"/>
      <c r="E48" s="127"/>
      <c r="F48" s="127"/>
      <c r="G48" s="127"/>
      <c r="H48" s="127"/>
      <c r="I48" s="127"/>
      <c r="J48" s="12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34" ht="11.25" customHeight="1" outlineLevel="1">
      <c r="A49" s="17"/>
      <c r="B49" s="17"/>
      <c r="C49" s="129" t="s">
        <v>141</v>
      </c>
      <c r="D49" s="128" t="s">
        <v>47</v>
      </c>
      <c r="E49" s="128" t="s">
        <v>70</v>
      </c>
      <c r="F49" s="127"/>
      <c r="G49" s="127"/>
      <c r="H49" s="127"/>
      <c r="I49" s="127"/>
      <c r="J49" s="145" t="str">
        <f t="shared" ref="J49:T49" si="33">IF(YEAR(J$4)&gt;BaseYear,IF(YEAR(J$4)&lt;=FPLastYear,J$4,""),"")</f>
        <v/>
      </c>
      <c r="K49" s="145" t="str">
        <f t="shared" si="33"/>
        <v/>
      </c>
      <c r="L49" s="145" t="str">
        <f t="shared" si="33"/>
        <v/>
      </c>
      <c r="M49" s="145" t="str">
        <f t="shared" si="33"/>
        <v/>
      </c>
      <c r="N49" s="145" t="str">
        <f t="shared" si="33"/>
        <v/>
      </c>
      <c r="O49" s="145">
        <f t="shared" si="33"/>
        <v>45444</v>
      </c>
      <c r="P49" s="145">
        <f t="shared" si="33"/>
        <v>45809</v>
      </c>
      <c r="Q49" s="145">
        <f t="shared" si="33"/>
        <v>46174</v>
      </c>
      <c r="R49" s="145">
        <f t="shared" si="33"/>
        <v>46539</v>
      </c>
      <c r="S49" s="145" t="str">
        <f t="shared" si="33"/>
        <v/>
      </c>
      <c r="T49" s="145" t="str">
        <f t="shared" si="33"/>
        <v/>
      </c>
      <c r="U49" s="145" t="str">
        <f t="shared" ref="U49" si="34">IF(YEAR(U$4)&gt;=BaseYear,IF(YEAR(U$4)&lt;=FPLastYear,U$4,""),"")</f>
        <v/>
      </c>
      <c r="V49" s="17"/>
      <c r="W49" s="17"/>
    </row>
    <row r="50" spans="1:34" ht="11.25" customHeight="1" outlineLevel="1">
      <c r="A50" s="17"/>
      <c r="B50" s="17"/>
      <c r="C50" s="17"/>
      <c r="D50" s="127"/>
      <c r="E50" s="127"/>
      <c r="F50" s="127"/>
      <c r="G50" s="127"/>
      <c r="H50" s="127"/>
      <c r="I50" s="127"/>
      <c r="J50" s="12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34" ht="11.25" customHeight="1" outlineLevel="1">
      <c r="A51" s="17"/>
      <c r="B51" s="17"/>
      <c r="C51" s="174" t="str">
        <f t="shared" ref="C51:C58" si="35">C38</f>
        <v>WPI - KPMG forecast</v>
      </c>
      <c r="D51" s="127" t="s">
        <v>132</v>
      </c>
      <c r="E51" s="127" t="str">
        <f t="shared" ref="E51:E58" si="36">percent</f>
        <v>Per cent</v>
      </c>
      <c r="F51" s="127"/>
      <c r="G51" s="127"/>
      <c r="H51" s="127"/>
      <c r="I51" s="127"/>
      <c r="J51" s="164"/>
      <c r="K51" s="165"/>
      <c r="L51" s="165"/>
      <c r="M51" s="165"/>
      <c r="N51" s="150"/>
      <c r="O51" s="150"/>
      <c r="P51" s="150"/>
      <c r="Q51" s="150"/>
      <c r="R51" s="150"/>
      <c r="S51" s="150"/>
      <c r="T51" s="150"/>
      <c r="U51" s="175"/>
      <c r="V51" s="17"/>
      <c r="W51" s="17"/>
    </row>
    <row r="52" spans="1:34" ht="11.25" customHeight="1" outlineLevel="1">
      <c r="A52" s="17"/>
      <c r="B52" s="17"/>
      <c r="C52" s="174" t="str">
        <f t="shared" si="35"/>
        <v>WPI - Oxford Economics Australia (OEA) forecast</v>
      </c>
      <c r="D52" s="127" t="s">
        <v>132</v>
      </c>
      <c r="E52" s="127" t="str">
        <f t="shared" si="36"/>
        <v>Per cent</v>
      </c>
      <c r="F52" s="127"/>
      <c r="G52" s="127"/>
      <c r="H52" s="127"/>
      <c r="I52" s="127"/>
      <c r="J52" s="164"/>
      <c r="K52" s="165"/>
      <c r="L52" s="165"/>
      <c r="M52" s="165"/>
      <c r="N52" s="150"/>
      <c r="O52" s="150"/>
      <c r="P52" s="150"/>
      <c r="Q52" s="150"/>
      <c r="R52" s="150"/>
      <c r="S52" s="150"/>
      <c r="T52" s="150"/>
      <c r="U52" s="175"/>
      <c r="V52" s="17"/>
      <c r="W52" s="17"/>
    </row>
    <row r="53" spans="1:34" ht="11.25" customHeight="1" outlineLevel="1">
      <c r="A53" s="17"/>
      <c r="B53" s="17"/>
      <c r="C53" s="174" t="str">
        <f t="shared" si="35"/>
        <v>WPI - average</v>
      </c>
      <c r="D53" s="127" t="s">
        <v>132</v>
      </c>
      <c r="E53" s="127" t="str">
        <f t="shared" si="36"/>
        <v>Per cent</v>
      </c>
      <c r="F53" s="127"/>
      <c r="G53" s="127"/>
      <c r="H53" s="127"/>
      <c r="I53" s="127"/>
      <c r="J53" s="164"/>
      <c r="K53" s="165"/>
      <c r="L53" s="165"/>
      <c r="M53" s="165"/>
      <c r="N53" s="150"/>
      <c r="O53" s="150"/>
      <c r="P53" s="150"/>
      <c r="Q53" s="150"/>
      <c r="R53" s="150"/>
      <c r="S53" s="150"/>
      <c r="T53" s="150"/>
      <c r="U53" s="175"/>
      <c r="V53" s="17"/>
      <c r="W53" s="17"/>
    </row>
    <row r="54" spans="1:34" ht="11.25" customHeight="1" outlineLevel="1">
      <c r="A54" s="17"/>
      <c r="B54" s="17"/>
      <c r="C54" s="174" t="str">
        <f t="shared" si="35"/>
        <v>Superannuation guarantee increases</v>
      </c>
      <c r="D54" s="127" t="s">
        <v>132</v>
      </c>
      <c r="E54" s="127" t="str">
        <f t="shared" si="36"/>
        <v>Per cent</v>
      </c>
      <c r="F54" s="127"/>
      <c r="G54" s="127"/>
      <c r="H54" s="127"/>
      <c r="I54" s="127"/>
      <c r="J54" s="164"/>
      <c r="K54" s="165"/>
      <c r="L54" s="165"/>
      <c r="M54" s="165"/>
      <c r="N54" s="150"/>
      <c r="O54" s="150"/>
      <c r="P54" s="150"/>
      <c r="Q54" s="150"/>
      <c r="R54" s="150"/>
      <c r="S54" s="150"/>
      <c r="T54" s="150"/>
      <c r="U54" s="175"/>
      <c r="V54" s="170"/>
      <c r="W54" s="17"/>
    </row>
    <row r="55" spans="1:34" ht="11.25" customHeight="1" outlineLevel="1">
      <c r="A55" s="17"/>
      <c r="B55" s="17"/>
      <c r="C55" s="174" t="str">
        <f t="shared" si="35"/>
        <v>WPI - average + super guarantee increases</v>
      </c>
      <c r="D55" s="127" t="s">
        <v>132</v>
      </c>
      <c r="E55" s="127" t="str">
        <f t="shared" si="36"/>
        <v>Per cent</v>
      </c>
      <c r="F55" s="127"/>
      <c r="G55" s="127"/>
      <c r="H55" s="127"/>
      <c r="I55" s="127"/>
      <c r="J55" s="164"/>
      <c r="K55" s="165"/>
      <c r="L55" s="165"/>
      <c r="M55" s="165"/>
      <c r="N55" s="150"/>
      <c r="O55" s="150">
        <f>'Input|PWC'!O47/'Input|PWC'!O51</f>
        <v>0.89877916146464965</v>
      </c>
      <c r="P55" s="150">
        <f>O55</f>
        <v>0.89877916146464965</v>
      </c>
      <c r="Q55" s="150">
        <f t="shared" ref="Q55" si="37">P55</f>
        <v>0.89877916146464965</v>
      </c>
      <c r="R55" s="150">
        <f t="shared" ref="R55" si="38">Q55</f>
        <v>0.89877916146464965</v>
      </c>
      <c r="S55" s="150"/>
      <c r="T55" s="150"/>
      <c r="U55" s="175"/>
      <c r="V55" s="17"/>
      <c r="W55" s="17"/>
    </row>
    <row r="56" spans="1:34" ht="11.25" customHeight="1" outlineLevel="1">
      <c r="A56" s="17"/>
      <c r="B56" s="17"/>
      <c r="C56" s="174">
        <f t="shared" si="35"/>
        <v>0</v>
      </c>
      <c r="D56" s="127" t="s">
        <v>132</v>
      </c>
      <c r="E56" s="127" t="str">
        <f t="shared" si="36"/>
        <v>Per cent</v>
      </c>
      <c r="F56" s="127"/>
      <c r="G56" s="127"/>
      <c r="H56" s="127"/>
      <c r="I56" s="127"/>
      <c r="J56" s="164"/>
      <c r="K56" s="165"/>
      <c r="L56" s="165"/>
      <c r="M56" s="165"/>
      <c r="N56" s="150"/>
      <c r="O56" s="150"/>
      <c r="P56" s="150"/>
      <c r="Q56" s="150"/>
      <c r="R56" s="150"/>
      <c r="S56" s="150"/>
      <c r="T56" s="150"/>
      <c r="U56" s="175"/>
      <c r="V56" s="17"/>
      <c r="W56" s="17"/>
    </row>
    <row r="57" spans="1:34" ht="11.25" customHeight="1" outlineLevel="1">
      <c r="A57" s="17"/>
      <c r="B57" s="17"/>
      <c r="C57" s="174">
        <f t="shared" si="35"/>
        <v>0</v>
      </c>
      <c r="D57" s="127" t="s">
        <v>132</v>
      </c>
      <c r="E57" s="127" t="str">
        <f t="shared" si="36"/>
        <v>Per cent</v>
      </c>
      <c r="F57" s="127"/>
      <c r="G57" s="127"/>
      <c r="H57" s="127"/>
      <c r="I57" s="127"/>
      <c r="J57" s="164"/>
      <c r="K57" s="165"/>
      <c r="L57" s="165"/>
      <c r="M57" s="165"/>
      <c r="N57" s="150"/>
      <c r="O57" s="150"/>
      <c r="P57" s="150"/>
      <c r="Q57" s="150"/>
      <c r="R57" s="150"/>
      <c r="S57" s="150"/>
      <c r="T57" s="150"/>
      <c r="U57" s="175"/>
      <c r="V57" s="17"/>
      <c r="W57" s="17"/>
    </row>
    <row r="58" spans="1:34" ht="11.25" customHeight="1" outlineLevel="1">
      <c r="A58" s="17"/>
      <c r="B58" s="17"/>
      <c r="C58" s="174" t="str">
        <f t="shared" si="35"/>
        <v>CPI</v>
      </c>
      <c r="D58" s="127" t="s">
        <v>132</v>
      </c>
      <c r="E58" s="127" t="str">
        <f t="shared" si="36"/>
        <v>Per cent</v>
      </c>
      <c r="F58" s="127"/>
      <c r="G58" s="127"/>
      <c r="H58" s="127"/>
      <c r="I58" s="127"/>
      <c r="J58" s="164"/>
      <c r="K58" s="165"/>
      <c r="L58" s="165"/>
      <c r="M58" s="150"/>
      <c r="N58" s="150"/>
      <c r="O58" s="150">
        <f>1-SUM(O51:O57)</f>
        <v>0.10122083853535035</v>
      </c>
      <c r="P58" s="150">
        <f t="shared" ref="P58:R58" si="39">1-SUM(P51:P57)</f>
        <v>0.10122083853535035</v>
      </c>
      <c r="Q58" s="150">
        <f t="shared" si="39"/>
        <v>0.10122083853535035</v>
      </c>
      <c r="R58" s="150">
        <f t="shared" si="39"/>
        <v>0.10122083853535035</v>
      </c>
      <c r="S58" s="150"/>
      <c r="T58" s="150"/>
      <c r="U58" s="175"/>
      <c r="V58" s="17"/>
      <c r="W58" s="17"/>
    </row>
    <row r="59" spans="1:34" ht="11.25" customHeight="1" outlineLevel="1">
      <c r="A59" s="17"/>
      <c r="B59" s="17"/>
      <c r="C59" s="17"/>
      <c r="D59" s="127"/>
      <c r="E59" s="127"/>
      <c r="F59" s="127"/>
      <c r="G59" s="127"/>
      <c r="H59" s="127"/>
      <c r="I59" s="127"/>
      <c r="J59" s="12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34" ht="10.5" outlineLevel="1">
      <c r="A60" s="17"/>
      <c r="B60" s="17"/>
      <c r="C60" s="17" t="s">
        <v>138</v>
      </c>
      <c r="D60" s="127" t="s">
        <v>126</v>
      </c>
      <c r="E60" s="127" t="s">
        <v>139</v>
      </c>
      <c r="F60" s="127" t="s">
        <v>140</v>
      </c>
      <c r="G60" s="127"/>
      <c r="H60" s="127"/>
      <c r="I60" s="127"/>
      <c r="J60" s="172" t="str">
        <f t="shared" ref="J60:S60" si="40">IF(J49=J$4,IF(SUM(J51:J58)=1,"Ok","Check"),"")</f>
        <v/>
      </c>
      <c r="K60" s="172" t="str">
        <f t="shared" si="40"/>
        <v/>
      </c>
      <c r="L60" s="172" t="str">
        <f t="shared" si="40"/>
        <v/>
      </c>
      <c r="M60" s="172" t="str">
        <f t="shared" si="40"/>
        <v/>
      </c>
      <c r="N60" s="172" t="str">
        <f t="shared" si="40"/>
        <v/>
      </c>
      <c r="O60" s="172" t="str">
        <f t="shared" si="40"/>
        <v>Ok</v>
      </c>
      <c r="P60" s="172" t="str">
        <f t="shared" si="40"/>
        <v>Ok</v>
      </c>
      <c r="Q60" s="172" t="str">
        <f t="shared" si="40"/>
        <v>Ok</v>
      </c>
      <c r="R60" s="172" t="str">
        <f t="shared" si="40"/>
        <v>Ok</v>
      </c>
      <c r="S60" s="172" t="str">
        <f t="shared" si="40"/>
        <v/>
      </c>
      <c r="T60" s="172" t="str">
        <f>IF(T49=T$4,IF(SUM(T51:T58)=1,"Ok","Check"),"")</f>
        <v/>
      </c>
      <c r="U60" s="172" t="str">
        <f>IF(U49=U$4,IF(SUM(U51:U58)=1,"Ok","Check"),"")</f>
        <v/>
      </c>
      <c r="V60" s="173"/>
      <c r="W60" s="17"/>
      <c r="X60" s="84" t="str">
        <f>IF(COUNTIF(J60:U60,"Check")=0,"Ok","Check")</f>
        <v>Ok</v>
      </c>
    </row>
    <row r="61" spans="1:34">
      <c r="A61" s="17"/>
      <c r="B61" s="17"/>
      <c r="C61" s="17"/>
      <c r="D61" s="127"/>
      <c r="E61" s="127"/>
      <c r="F61" s="127"/>
      <c r="G61" s="127"/>
      <c r="H61" s="127"/>
      <c r="I61" s="127"/>
      <c r="J61" s="12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34" customFormat="1" ht="12.3">
      <c r="A62" s="34"/>
      <c r="B62" s="40" t="s">
        <v>142</v>
      </c>
      <c r="C62" s="34"/>
      <c r="D62" s="34"/>
      <c r="E62" s="34"/>
      <c r="F62" s="125"/>
      <c r="G62" s="125"/>
      <c r="H62" s="125"/>
      <c r="I62" s="125"/>
      <c r="J62" s="125"/>
      <c r="K62" s="36"/>
      <c r="L62" s="126"/>
      <c r="M62" s="36"/>
      <c r="N62" s="126"/>
      <c r="O62" s="36"/>
      <c r="P62" s="36"/>
      <c r="Q62" s="36"/>
      <c r="R62" s="36"/>
      <c r="S62" s="36"/>
      <c r="T62" s="36"/>
      <c r="U62" s="36"/>
      <c r="V62" s="36"/>
      <c r="W62" s="36"/>
      <c r="X62" s="37"/>
      <c r="Y62" s="38"/>
      <c r="Z62" s="38"/>
      <c r="AA62" s="38"/>
      <c r="AB62" s="38"/>
      <c r="AC62" s="38"/>
      <c r="AD62" s="38"/>
      <c r="AE62" s="38"/>
      <c r="AF62" s="38"/>
      <c r="AG62" s="39"/>
      <c r="AH62" s="39"/>
    </row>
    <row r="63" spans="1:34">
      <c r="A63" s="17"/>
      <c r="B63" s="17"/>
      <c r="C63" s="17"/>
      <c r="D63" s="127"/>
      <c r="E63" s="127"/>
      <c r="F63" s="127"/>
      <c r="G63" s="128"/>
      <c r="H63" s="128"/>
      <c r="I63" s="127"/>
      <c r="J63" s="12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34" ht="10.5" hidden="1" outlineLevel="1">
      <c r="A64" s="17"/>
      <c r="B64" s="17"/>
      <c r="C64" s="129" t="s">
        <v>143</v>
      </c>
      <c r="D64" s="128" t="s">
        <v>47</v>
      </c>
      <c r="E64" s="128" t="s">
        <v>70</v>
      </c>
      <c r="F64" s="128" t="s">
        <v>75</v>
      </c>
      <c r="G64" s="128"/>
      <c r="H64" s="128"/>
      <c r="I64" s="127"/>
      <c r="J64" s="145" t="str">
        <f t="shared" ref="J64:U64" si="41">IF(YEAR(J$4)&gt;=BaseYear,IF(YEAR(J$4)&lt;=FPLastYear,J$4,""),"")</f>
        <v/>
      </c>
      <c r="K64" s="145" t="str">
        <f t="shared" si="41"/>
        <v/>
      </c>
      <c r="L64" s="145" t="str">
        <f t="shared" si="41"/>
        <v/>
      </c>
      <c r="M64" s="145" t="str">
        <f t="shared" si="41"/>
        <v/>
      </c>
      <c r="N64" s="145">
        <f t="shared" si="41"/>
        <v>45078</v>
      </c>
      <c r="O64" s="145">
        <f t="shared" si="41"/>
        <v>45444</v>
      </c>
      <c r="P64" s="145">
        <f t="shared" si="41"/>
        <v>45809</v>
      </c>
      <c r="Q64" s="145">
        <f t="shared" si="41"/>
        <v>46174</v>
      </c>
      <c r="R64" s="145">
        <f t="shared" si="41"/>
        <v>46539</v>
      </c>
      <c r="S64" s="145" t="str">
        <f t="shared" si="41"/>
        <v/>
      </c>
      <c r="T64" s="145" t="str">
        <f t="shared" si="41"/>
        <v/>
      </c>
      <c r="U64" s="145" t="str">
        <f t="shared" si="41"/>
        <v/>
      </c>
      <c r="V64" s="17"/>
      <c r="W64" s="17"/>
    </row>
    <row r="65" spans="1:24" ht="10.5" hidden="1" outlineLevel="1">
      <c r="A65" s="17"/>
      <c r="B65" s="17"/>
      <c r="C65" s="132"/>
      <c r="D65" s="127"/>
      <c r="E65" s="127"/>
      <c r="F65" s="127"/>
      <c r="G65" s="128"/>
      <c r="H65" s="128"/>
      <c r="I65" s="127"/>
      <c r="J65" s="127"/>
      <c r="K65" s="133"/>
      <c r="L65" s="133"/>
      <c r="M65" s="133"/>
      <c r="N65" s="133"/>
      <c r="O65" s="133"/>
      <c r="P65" s="17"/>
      <c r="Q65" s="17"/>
      <c r="R65" s="17"/>
      <c r="S65" s="17"/>
      <c r="T65" s="17"/>
      <c r="U65" s="17"/>
      <c r="V65" s="17"/>
      <c r="W65" s="17"/>
    </row>
    <row r="66" spans="1:24" hidden="1" outlineLevel="1">
      <c r="A66" s="17"/>
      <c r="B66" s="17"/>
      <c r="C66" s="134"/>
      <c r="D66" s="127" t="s">
        <v>132</v>
      </c>
      <c r="E66" s="127" t="s">
        <v>144</v>
      </c>
      <c r="F66" s="127" t="s">
        <v>140</v>
      </c>
      <c r="G66" s="128"/>
      <c r="H66" s="128"/>
      <c r="I66" s="127"/>
      <c r="J66" s="164"/>
      <c r="K66" s="176"/>
      <c r="L66" s="176"/>
      <c r="M66" s="176"/>
      <c r="N66" s="176"/>
      <c r="O66" s="176"/>
      <c r="P66" s="176"/>
      <c r="Q66" s="176"/>
      <c r="R66" s="176"/>
      <c r="S66" s="176"/>
      <c r="T66" s="176"/>
      <c r="U66" s="148"/>
      <c r="V66" s="17"/>
      <c r="W66" s="196"/>
    </row>
    <row r="67" spans="1:24" hidden="1" outlineLevel="1">
      <c r="A67" s="17"/>
      <c r="B67" s="17"/>
      <c r="C67" s="134"/>
      <c r="D67" s="127" t="s">
        <v>132</v>
      </c>
      <c r="E67" s="127" t="s">
        <v>144</v>
      </c>
      <c r="F67" s="127" t="s">
        <v>140</v>
      </c>
      <c r="G67" s="128"/>
      <c r="H67" s="128"/>
      <c r="I67" s="127"/>
      <c r="J67" s="164"/>
      <c r="K67" s="176"/>
      <c r="L67" s="176"/>
      <c r="M67" s="176"/>
      <c r="N67" s="176"/>
      <c r="O67" s="176"/>
      <c r="P67" s="176"/>
      <c r="Q67" s="176"/>
      <c r="R67" s="176"/>
      <c r="S67" s="176"/>
      <c r="T67" s="176"/>
      <c r="U67" s="148"/>
      <c r="V67" s="17"/>
      <c r="W67" s="196"/>
    </row>
    <row r="68" spans="1:24" hidden="1" outlineLevel="1">
      <c r="A68" s="17"/>
      <c r="B68" s="17"/>
      <c r="C68" s="134"/>
      <c r="D68" s="127" t="s">
        <v>132</v>
      </c>
      <c r="E68" s="127" t="s">
        <v>144</v>
      </c>
      <c r="F68" s="127" t="s">
        <v>140</v>
      </c>
      <c r="G68" s="128"/>
      <c r="H68" s="128"/>
      <c r="I68" s="127"/>
      <c r="J68" s="164"/>
      <c r="K68" s="176"/>
      <c r="L68" s="176"/>
      <c r="M68" s="176"/>
      <c r="N68" s="176"/>
      <c r="O68" s="176"/>
      <c r="P68" s="176"/>
      <c r="Q68" s="176"/>
      <c r="R68" s="176"/>
      <c r="S68" s="176"/>
      <c r="T68" s="176"/>
      <c r="U68" s="148"/>
      <c r="V68" s="17"/>
      <c r="W68" s="196"/>
    </row>
    <row r="69" spans="1:24" hidden="1" outlineLevel="1">
      <c r="A69" s="17"/>
      <c r="B69" s="17"/>
      <c r="C69" s="134"/>
      <c r="D69" s="127" t="s">
        <v>132</v>
      </c>
      <c r="E69" s="127" t="s">
        <v>144</v>
      </c>
      <c r="F69" s="127" t="s">
        <v>140</v>
      </c>
      <c r="G69" s="128"/>
      <c r="H69" s="128"/>
      <c r="I69" s="127"/>
      <c r="J69" s="164"/>
      <c r="K69" s="176"/>
      <c r="L69" s="176"/>
      <c r="M69" s="176"/>
      <c r="N69" s="176"/>
      <c r="O69" s="176"/>
      <c r="P69" s="176"/>
      <c r="Q69" s="176"/>
      <c r="R69" s="176"/>
      <c r="S69" s="176"/>
      <c r="T69" s="176"/>
      <c r="U69" s="148"/>
      <c r="V69" s="17"/>
      <c r="W69" s="17"/>
    </row>
    <row r="70" spans="1:24" hidden="1" outlineLevel="1">
      <c r="A70" s="17"/>
      <c r="B70" s="17"/>
      <c r="C70" s="134"/>
      <c r="D70" s="127" t="s">
        <v>132</v>
      </c>
      <c r="E70" s="127" t="s">
        <v>144</v>
      </c>
      <c r="F70" s="127" t="s">
        <v>140</v>
      </c>
      <c r="G70" s="128"/>
      <c r="H70" s="128"/>
      <c r="I70" s="127"/>
      <c r="J70" s="164"/>
      <c r="K70" s="176"/>
      <c r="L70" s="176"/>
      <c r="M70" s="176"/>
      <c r="N70" s="176"/>
      <c r="O70" s="176"/>
      <c r="P70" s="176"/>
      <c r="Q70" s="176"/>
      <c r="R70" s="176"/>
      <c r="S70" s="176"/>
      <c r="T70" s="176"/>
      <c r="U70" s="148"/>
      <c r="V70" s="17"/>
      <c r="W70" s="17"/>
    </row>
    <row r="71" spans="1:24" hidden="1" outlineLevel="1">
      <c r="A71" s="17"/>
      <c r="B71" s="17"/>
      <c r="C71" s="134"/>
      <c r="D71" s="127" t="s">
        <v>132</v>
      </c>
      <c r="E71" s="127" t="s">
        <v>144</v>
      </c>
      <c r="F71" s="127" t="s">
        <v>140</v>
      </c>
      <c r="G71" s="128"/>
      <c r="H71" s="128"/>
      <c r="I71" s="127"/>
      <c r="J71" s="164"/>
      <c r="K71" s="176"/>
      <c r="L71" s="176"/>
      <c r="M71" s="176"/>
      <c r="N71" s="176"/>
      <c r="O71" s="148"/>
      <c r="P71" s="148"/>
      <c r="Q71" s="148"/>
      <c r="R71" s="148"/>
      <c r="S71" s="148"/>
      <c r="T71" s="148"/>
      <c r="U71" s="148"/>
      <c r="V71" s="17"/>
      <c r="W71" s="17"/>
    </row>
    <row r="72" spans="1:24" ht="10.5" hidden="1" outlineLevel="1">
      <c r="A72" s="17"/>
      <c r="B72" s="17"/>
      <c r="C72" s="132"/>
      <c r="D72" s="127"/>
      <c r="E72" s="127"/>
      <c r="F72" s="127"/>
      <c r="G72" s="128"/>
      <c r="H72" s="128"/>
      <c r="I72" s="127"/>
      <c r="J72" s="127"/>
      <c r="K72" s="133"/>
      <c r="L72" s="133"/>
      <c r="M72" s="133"/>
      <c r="N72" s="133"/>
      <c r="O72" s="133"/>
      <c r="P72" s="17"/>
      <c r="Q72" s="17"/>
      <c r="R72" s="17"/>
      <c r="S72" s="17"/>
      <c r="T72" s="17"/>
      <c r="U72" s="17"/>
      <c r="V72" s="17"/>
      <c r="W72" s="17"/>
    </row>
    <row r="73" spans="1:24" ht="10.5" hidden="1" outlineLevel="1">
      <c r="A73" s="17"/>
      <c r="B73" s="17"/>
      <c r="C73" s="17" t="s">
        <v>138</v>
      </c>
      <c r="D73" s="127" t="s">
        <v>126</v>
      </c>
      <c r="E73" s="127" t="s">
        <v>139</v>
      </c>
      <c r="F73" s="127" t="s">
        <v>140</v>
      </c>
      <c r="G73" s="127"/>
      <c r="H73" s="127"/>
      <c r="I73" s="127"/>
      <c r="J73" s="172" t="str">
        <f t="shared" ref="J73:S73" si="42">IF(J64=J$4,IF(COUNTA($C66:$C71)=COUNT(J66:J71),"Ok","Check"),"")</f>
        <v/>
      </c>
      <c r="K73" s="172" t="str">
        <f t="shared" si="42"/>
        <v/>
      </c>
      <c r="L73" s="172" t="str">
        <f t="shared" si="42"/>
        <v/>
      </c>
      <c r="M73" s="172" t="str">
        <f t="shared" si="42"/>
        <v/>
      </c>
      <c r="N73" s="172" t="str">
        <f t="shared" si="42"/>
        <v>Ok</v>
      </c>
      <c r="O73" s="172" t="str">
        <f t="shared" si="42"/>
        <v>Ok</v>
      </c>
      <c r="P73" s="172" t="str">
        <f t="shared" si="42"/>
        <v>Ok</v>
      </c>
      <c r="Q73" s="172" t="str">
        <f t="shared" si="42"/>
        <v>Ok</v>
      </c>
      <c r="R73" s="172" t="str">
        <f t="shared" si="42"/>
        <v>Ok</v>
      </c>
      <c r="S73" s="172" t="str">
        <f t="shared" si="42"/>
        <v/>
      </c>
      <c r="T73" s="172" t="str">
        <f>IF(T64=T$4,IF(COUNTA($C66:$C71)=COUNT(T66:T71),"Ok","Check"),"")</f>
        <v/>
      </c>
      <c r="U73" s="172" t="str">
        <f>IF(U64=U$4,IF(COUNTA($C66:$C71)=COUNT(U66:U71),"Ok","Check"),"")</f>
        <v/>
      </c>
      <c r="V73" s="173"/>
      <c r="W73" s="17"/>
      <c r="X73" s="84" t="str">
        <f>IF(COUNTIF(J73:U73,"Check")=0,"Ok","Check")</f>
        <v>Ok</v>
      </c>
    </row>
    <row r="74" spans="1:24" ht="10.5" hidden="1" outlineLevel="1">
      <c r="A74" s="17"/>
      <c r="B74" s="17"/>
      <c r="C74" s="132"/>
      <c r="D74" s="127"/>
      <c r="E74" s="127"/>
      <c r="F74" s="127"/>
      <c r="G74" s="128"/>
      <c r="H74" s="128"/>
      <c r="I74" s="127"/>
      <c r="J74" s="127"/>
      <c r="K74" s="133"/>
      <c r="L74" s="133"/>
      <c r="M74" s="133"/>
      <c r="N74" s="133"/>
      <c r="O74" s="133"/>
      <c r="P74" s="17"/>
      <c r="Q74" s="17"/>
      <c r="R74" s="17"/>
      <c r="S74" s="17"/>
      <c r="T74" s="17"/>
      <c r="U74" s="17"/>
      <c r="V74" s="17"/>
      <c r="W74" s="17"/>
    </row>
    <row r="75" spans="1:24" ht="10.5" hidden="1" outlineLevel="1">
      <c r="A75" s="17"/>
      <c r="B75" s="17"/>
      <c r="C75" s="129" t="s">
        <v>145</v>
      </c>
      <c r="D75" s="128" t="s">
        <v>47</v>
      </c>
      <c r="E75" s="128" t="s">
        <v>70</v>
      </c>
      <c r="F75" s="128" t="s">
        <v>75</v>
      </c>
      <c r="G75" s="128"/>
      <c r="H75" s="128"/>
      <c r="I75" s="127"/>
      <c r="J75" s="145" t="str">
        <f t="shared" ref="J75:T75" si="43">IF(YEAR(J$4)&gt;BaseYear,IF(YEAR(J$4)&lt;=FPLastYear,J$4,""),"")</f>
        <v/>
      </c>
      <c r="K75" s="145" t="str">
        <f t="shared" si="43"/>
        <v/>
      </c>
      <c r="L75" s="145" t="str">
        <f t="shared" si="43"/>
        <v/>
      </c>
      <c r="M75" s="145" t="str">
        <f t="shared" si="43"/>
        <v/>
      </c>
      <c r="N75" s="145" t="str">
        <f t="shared" si="43"/>
        <v/>
      </c>
      <c r="O75" s="145">
        <f t="shared" si="43"/>
        <v>45444</v>
      </c>
      <c r="P75" s="145">
        <f t="shared" si="43"/>
        <v>45809</v>
      </c>
      <c r="Q75" s="145">
        <f t="shared" si="43"/>
        <v>46174</v>
      </c>
      <c r="R75" s="145">
        <f t="shared" si="43"/>
        <v>46539</v>
      </c>
      <c r="S75" s="145" t="str">
        <f t="shared" si="43"/>
        <v/>
      </c>
      <c r="T75" s="145" t="str">
        <f t="shared" si="43"/>
        <v/>
      </c>
      <c r="U75" s="145" t="str">
        <f t="shared" ref="U75:V75" si="44">IF(YEAR(U$4)&gt;=BaseYear,IF(YEAR(U$4)&lt;=FPLastYear,U$4,""),"")</f>
        <v/>
      </c>
      <c r="V75" s="145" t="str">
        <f t="shared" si="44"/>
        <v/>
      </c>
      <c r="W75" s="17"/>
    </row>
    <row r="76" spans="1:24" ht="10.5" hidden="1" outlineLevel="1">
      <c r="A76" s="17"/>
      <c r="B76" s="17"/>
      <c r="C76" s="132"/>
      <c r="D76" s="127"/>
      <c r="E76" s="127"/>
      <c r="F76" s="127"/>
      <c r="G76" s="128"/>
      <c r="H76" s="128"/>
      <c r="I76" s="127"/>
      <c r="J76" s="127"/>
      <c r="K76" s="133"/>
      <c r="L76" s="133"/>
      <c r="M76" s="133"/>
      <c r="N76" s="133"/>
      <c r="O76" s="133"/>
      <c r="P76" s="17"/>
      <c r="Q76" s="17"/>
      <c r="R76" s="17"/>
      <c r="S76" s="17"/>
      <c r="T76" s="17"/>
      <c r="U76" s="17"/>
      <c r="V76" s="17"/>
      <c r="W76" s="17"/>
    </row>
    <row r="77" spans="1:24" hidden="1" outlineLevel="1">
      <c r="A77" s="17"/>
      <c r="B77" s="17"/>
      <c r="C77" s="174">
        <f>C66</f>
        <v>0</v>
      </c>
      <c r="D77" s="127" t="s">
        <v>126</v>
      </c>
      <c r="E77" s="127" t="s">
        <v>144</v>
      </c>
      <c r="F77" s="127" t="s">
        <v>140</v>
      </c>
      <c r="G77" s="128"/>
      <c r="H77" s="128"/>
      <c r="I77" s="127"/>
      <c r="J77" s="177" t="str">
        <f t="shared" ref="J77:M77" si="45">IF(ISBLANK(I66),"",IF(ISBLANK(J66),"",LN(J66)-LN(I66)))</f>
        <v/>
      </c>
      <c r="K77" s="177" t="str">
        <f t="shared" si="45"/>
        <v/>
      </c>
      <c r="L77" s="177" t="str">
        <f t="shared" si="45"/>
        <v/>
      </c>
      <c r="M77" s="177" t="str">
        <f t="shared" si="45"/>
        <v/>
      </c>
      <c r="N77" s="177" t="str">
        <f>IF(ISBLANK(M66),"",IF(ISBLANK(N66),"",LN(N66)-LN(M66)))</f>
        <v/>
      </c>
      <c r="O77" s="177" t="str">
        <f t="shared" ref="O77:U77" si="46">IF(ISBLANK(N66),"",IF(ISBLANK(O66),"",LN(O66)-LN(N66)))</f>
        <v/>
      </c>
      <c r="P77" s="177" t="str">
        <f t="shared" si="46"/>
        <v/>
      </c>
      <c r="Q77" s="177" t="str">
        <f t="shared" si="46"/>
        <v/>
      </c>
      <c r="R77" s="177" t="str">
        <f t="shared" si="46"/>
        <v/>
      </c>
      <c r="S77" s="177" t="str">
        <f t="shared" si="46"/>
        <v/>
      </c>
      <c r="T77" s="177" t="str">
        <f t="shared" si="46"/>
        <v/>
      </c>
      <c r="U77" s="177" t="str">
        <f t="shared" si="46"/>
        <v/>
      </c>
      <c r="V77" s="17"/>
      <c r="W77" s="17"/>
    </row>
    <row r="78" spans="1:24" hidden="1" outlineLevel="1">
      <c r="A78" s="17"/>
      <c r="B78" s="17"/>
      <c r="C78" s="174">
        <f t="shared" ref="C78:C82" si="47">C67</f>
        <v>0</v>
      </c>
      <c r="D78" s="127" t="s">
        <v>126</v>
      </c>
      <c r="E78" s="127" t="s">
        <v>144</v>
      </c>
      <c r="F78" s="127" t="s">
        <v>140</v>
      </c>
      <c r="G78" s="128"/>
      <c r="H78" s="128"/>
      <c r="I78" s="127"/>
      <c r="J78" s="177" t="str">
        <f t="shared" ref="J78:U78" si="48">IF(ISBLANK(I67),"",IF(ISBLANK(J67),"",LN(J67)-LN(I67)))</f>
        <v/>
      </c>
      <c r="K78" s="177" t="str">
        <f t="shared" si="48"/>
        <v/>
      </c>
      <c r="L78" s="177" t="str">
        <f t="shared" si="48"/>
        <v/>
      </c>
      <c r="M78" s="177" t="str">
        <f t="shared" si="48"/>
        <v/>
      </c>
      <c r="N78" s="177" t="str">
        <f t="shared" si="48"/>
        <v/>
      </c>
      <c r="O78" s="177" t="str">
        <f t="shared" si="48"/>
        <v/>
      </c>
      <c r="P78" s="177" t="str">
        <f t="shared" si="48"/>
        <v/>
      </c>
      <c r="Q78" s="177" t="str">
        <f t="shared" si="48"/>
        <v/>
      </c>
      <c r="R78" s="177" t="str">
        <f t="shared" si="48"/>
        <v/>
      </c>
      <c r="S78" s="177" t="str">
        <f t="shared" si="48"/>
        <v/>
      </c>
      <c r="T78" s="177" t="str">
        <f t="shared" si="48"/>
        <v/>
      </c>
      <c r="U78" s="177" t="str">
        <f t="shared" si="48"/>
        <v/>
      </c>
      <c r="V78" s="17"/>
      <c r="W78" s="17"/>
    </row>
    <row r="79" spans="1:24" hidden="1" outlineLevel="1">
      <c r="A79" s="17"/>
      <c r="B79" s="17"/>
      <c r="C79" s="174">
        <f t="shared" si="47"/>
        <v>0</v>
      </c>
      <c r="D79" s="127" t="s">
        <v>126</v>
      </c>
      <c r="E79" s="127" t="s">
        <v>144</v>
      </c>
      <c r="F79" s="127" t="s">
        <v>140</v>
      </c>
      <c r="G79" s="128"/>
      <c r="H79" s="128"/>
      <c r="I79" s="127"/>
      <c r="J79" s="177" t="str">
        <f t="shared" ref="J79:U79" si="49">IF(ISBLANK(I68),"",IF(ISBLANK(J68),"",LN(J68)-LN(I68)))</f>
        <v/>
      </c>
      <c r="K79" s="177" t="str">
        <f t="shared" si="49"/>
        <v/>
      </c>
      <c r="L79" s="177" t="str">
        <f t="shared" si="49"/>
        <v/>
      </c>
      <c r="M79" s="177" t="str">
        <f t="shared" si="49"/>
        <v/>
      </c>
      <c r="N79" s="177" t="str">
        <f t="shared" si="49"/>
        <v/>
      </c>
      <c r="O79" s="177" t="str">
        <f t="shared" si="49"/>
        <v/>
      </c>
      <c r="P79" s="177" t="str">
        <f t="shared" si="49"/>
        <v/>
      </c>
      <c r="Q79" s="177" t="str">
        <f t="shared" si="49"/>
        <v/>
      </c>
      <c r="R79" s="177" t="str">
        <f t="shared" si="49"/>
        <v/>
      </c>
      <c r="S79" s="177" t="str">
        <f t="shared" si="49"/>
        <v/>
      </c>
      <c r="T79" s="177" t="str">
        <f t="shared" si="49"/>
        <v/>
      </c>
      <c r="U79" s="177" t="str">
        <f t="shared" si="49"/>
        <v/>
      </c>
      <c r="V79" s="17"/>
      <c r="W79" s="17"/>
    </row>
    <row r="80" spans="1:24" hidden="1" outlineLevel="1">
      <c r="A80" s="17"/>
      <c r="B80" s="17"/>
      <c r="C80" s="174">
        <f t="shared" si="47"/>
        <v>0</v>
      </c>
      <c r="D80" s="127" t="s">
        <v>126</v>
      </c>
      <c r="E80" s="127" t="s">
        <v>144</v>
      </c>
      <c r="F80" s="127" t="s">
        <v>140</v>
      </c>
      <c r="G80" s="128"/>
      <c r="H80" s="128"/>
      <c r="I80" s="127"/>
      <c r="J80" s="177" t="str">
        <f t="shared" ref="J80:U80" si="50">IF(ISBLANK(I69),"",IF(ISBLANK(J69),"",LN(J69)-LN(I69)))</f>
        <v/>
      </c>
      <c r="K80" s="177" t="str">
        <f t="shared" si="50"/>
        <v/>
      </c>
      <c r="L80" s="177" t="str">
        <f t="shared" si="50"/>
        <v/>
      </c>
      <c r="M80" s="177" t="str">
        <f t="shared" si="50"/>
        <v/>
      </c>
      <c r="N80" s="177" t="str">
        <f t="shared" si="50"/>
        <v/>
      </c>
      <c r="O80" s="177" t="str">
        <f t="shared" si="50"/>
        <v/>
      </c>
      <c r="P80" s="177" t="str">
        <f t="shared" si="50"/>
        <v/>
      </c>
      <c r="Q80" s="177" t="str">
        <f t="shared" si="50"/>
        <v/>
      </c>
      <c r="R80" s="177" t="str">
        <f t="shared" si="50"/>
        <v/>
      </c>
      <c r="S80" s="177" t="str">
        <f t="shared" si="50"/>
        <v/>
      </c>
      <c r="T80" s="177" t="str">
        <f t="shared" si="50"/>
        <v/>
      </c>
      <c r="U80" s="177" t="str">
        <f t="shared" si="50"/>
        <v/>
      </c>
      <c r="V80" s="17"/>
      <c r="W80" s="17"/>
    </row>
    <row r="81" spans="1:23" hidden="1" outlineLevel="1">
      <c r="A81" s="17"/>
      <c r="B81" s="17"/>
      <c r="C81" s="174">
        <f t="shared" si="47"/>
        <v>0</v>
      </c>
      <c r="D81" s="127" t="s">
        <v>126</v>
      </c>
      <c r="E81" s="127" t="s">
        <v>144</v>
      </c>
      <c r="F81" s="127" t="s">
        <v>140</v>
      </c>
      <c r="G81" s="128"/>
      <c r="H81" s="128"/>
      <c r="I81" s="127"/>
      <c r="J81" s="177" t="str">
        <f t="shared" ref="J81:T81" si="51">IF(ISBLANK(I70),"",IF(ISBLANK(J70),"",LN(J70)-LN(I70)))</f>
        <v/>
      </c>
      <c r="K81" s="177" t="str">
        <f t="shared" si="51"/>
        <v/>
      </c>
      <c r="L81" s="177" t="str">
        <f t="shared" si="51"/>
        <v/>
      </c>
      <c r="M81" s="177" t="str">
        <f t="shared" si="51"/>
        <v/>
      </c>
      <c r="N81" s="177" t="str">
        <f t="shared" si="51"/>
        <v/>
      </c>
      <c r="O81" s="177" t="str">
        <f t="shared" si="51"/>
        <v/>
      </c>
      <c r="P81" s="177" t="str">
        <f t="shared" si="51"/>
        <v/>
      </c>
      <c r="Q81" s="177" t="str">
        <f t="shared" si="51"/>
        <v/>
      </c>
      <c r="R81" s="177" t="str">
        <f t="shared" si="51"/>
        <v/>
      </c>
      <c r="S81" s="177" t="str">
        <f t="shared" si="51"/>
        <v/>
      </c>
      <c r="T81" s="177" t="str">
        <f t="shared" si="51"/>
        <v/>
      </c>
      <c r="U81" s="177"/>
      <c r="V81" s="17"/>
      <c r="W81" s="17"/>
    </row>
    <row r="82" spans="1:23" hidden="1" outlineLevel="1">
      <c r="A82" s="17"/>
      <c r="B82" s="17"/>
      <c r="C82" s="174">
        <f t="shared" si="47"/>
        <v>0</v>
      </c>
      <c r="D82" s="127" t="s">
        <v>126</v>
      </c>
      <c r="E82" s="127" t="s">
        <v>144</v>
      </c>
      <c r="F82" s="127" t="s">
        <v>140</v>
      </c>
      <c r="G82" s="128"/>
      <c r="H82" s="128"/>
      <c r="I82" s="127"/>
      <c r="J82" s="177" t="str">
        <f t="shared" ref="J82:T82" si="52">IF(ISBLANK(I71),"",IF(ISBLANK(J71),"",LN(J71)-LN(I71)))</f>
        <v/>
      </c>
      <c r="K82" s="177" t="str">
        <f t="shared" si="52"/>
        <v/>
      </c>
      <c r="L82" s="177" t="str">
        <f t="shared" si="52"/>
        <v/>
      </c>
      <c r="M82" s="177" t="str">
        <f t="shared" si="52"/>
        <v/>
      </c>
      <c r="N82" s="177" t="str">
        <f t="shared" si="52"/>
        <v/>
      </c>
      <c r="O82" s="177" t="str">
        <f t="shared" si="52"/>
        <v/>
      </c>
      <c r="P82" s="177" t="str">
        <f t="shared" si="52"/>
        <v/>
      </c>
      <c r="Q82" s="177" t="str">
        <f t="shared" si="52"/>
        <v/>
      </c>
      <c r="R82" s="177" t="str">
        <f t="shared" si="52"/>
        <v/>
      </c>
      <c r="S82" s="177" t="str">
        <f t="shared" si="52"/>
        <v/>
      </c>
      <c r="T82" s="177" t="str">
        <f t="shared" si="52"/>
        <v/>
      </c>
      <c r="U82" s="177"/>
      <c r="V82" s="17"/>
      <c r="W82" s="17"/>
    </row>
    <row r="83" spans="1:23" ht="10.5" hidden="1" outlineLevel="1">
      <c r="A83" s="17"/>
      <c r="B83" s="17"/>
      <c r="C83" s="132"/>
      <c r="D83" s="127"/>
      <c r="E83" s="127"/>
      <c r="F83" s="127"/>
      <c r="G83" s="128"/>
      <c r="H83" s="128"/>
      <c r="I83" s="127"/>
      <c r="J83" s="127"/>
      <c r="K83" s="133"/>
      <c r="L83" s="133"/>
      <c r="M83" s="133"/>
      <c r="N83" s="133"/>
      <c r="O83" s="133"/>
      <c r="P83" s="17"/>
      <c r="Q83" s="17"/>
      <c r="R83" s="17"/>
      <c r="S83" s="17"/>
      <c r="T83" s="17"/>
      <c r="U83" s="17"/>
      <c r="V83" s="17"/>
      <c r="W83" s="17"/>
    </row>
    <row r="84" spans="1:23" ht="10.5" hidden="1" outlineLevel="1">
      <c r="A84" s="17"/>
      <c r="B84" s="17"/>
      <c r="C84" s="129" t="s">
        <v>146</v>
      </c>
      <c r="D84" s="128" t="s">
        <v>47</v>
      </c>
      <c r="E84" s="128" t="s">
        <v>70</v>
      </c>
      <c r="F84" s="128" t="s">
        <v>75</v>
      </c>
      <c r="G84" s="128"/>
      <c r="H84" s="128"/>
      <c r="I84" s="127"/>
      <c r="J84" s="178" t="s">
        <v>147</v>
      </c>
      <c r="K84" s="178" t="s">
        <v>148</v>
      </c>
      <c r="L84" s="178" t="s">
        <v>149</v>
      </c>
      <c r="M84" s="178" t="s">
        <v>150</v>
      </c>
      <c r="N84" s="133"/>
      <c r="O84" s="133"/>
      <c r="P84" s="17"/>
      <c r="Q84" s="17"/>
      <c r="R84" s="17"/>
      <c r="S84" s="17"/>
      <c r="T84" s="17"/>
      <c r="U84" s="17"/>
      <c r="V84" s="17"/>
      <c r="W84" s="17"/>
    </row>
    <row r="85" spans="1:23" ht="10.5" hidden="1" outlineLevel="1">
      <c r="A85" s="17"/>
      <c r="B85" s="17"/>
      <c r="C85" s="132"/>
      <c r="D85" s="127"/>
      <c r="E85" s="127"/>
      <c r="F85" s="127"/>
      <c r="G85" s="128"/>
      <c r="H85" s="128"/>
      <c r="I85" s="127"/>
      <c r="J85" s="127"/>
      <c r="K85" s="133"/>
      <c r="L85" s="133"/>
      <c r="M85" s="133"/>
      <c r="N85" s="133"/>
      <c r="O85" s="133"/>
      <c r="P85" s="17"/>
      <c r="Q85" s="17"/>
      <c r="R85" s="17"/>
      <c r="S85" s="17"/>
      <c r="T85" s="17"/>
      <c r="U85" s="17"/>
      <c r="V85" s="17"/>
      <c r="W85" s="17"/>
    </row>
    <row r="86" spans="1:23" ht="10.5" hidden="1" outlineLevel="1">
      <c r="A86" s="17"/>
      <c r="B86" s="17"/>
      <c r="C86" s="174">
        <f>C66</f>
        <v>0</v>
      </c>
      <c r="D86" s="127" t="s">
        <v>132</v>
      </c>
      <c r="E86" s="127" t="s">
        <v>144</v>
      </c>
      <c r="F86" s="127" t="s">
        <v>140</v>
      </c>
      <c r="G86" s="128"/>
      <c r="H86" s="128"/>
      <c r="I86" s="127"/>
      <c r="J86" s="179">
        <v>1</v>
      </c>
      <c r="K86" s="179">
        <v>1</v>
      </c>
      <c r="L86" s="179">
        <v>1</v>
      </c>
      <c r="M86" s="179">
        <v>1</v>
      </c>
      <c r="N86" s="133"/>
      <c r="O86" s="133"/>
      <c r="P86" s="17"/>
      <c r="Q86" s="17"/>
      <c r="R86" s="17"/>
      <c r="S86" s="17"/>
      <c r="T86" s="17"/>
      <c r="U86" s="17"/>
      <c r="V86" s="17"/>
      <c r="W86" s="196"/>
    </row>
    <row r="87" spans="1:23" ht="10.5" hidden="1" outlineLevel="1">
      <c r="A87" s="17"/>
      <c r="B87" s="17"/>
      <c r="C87" s="174">
        <f t="shared" ref="C87:C91" si="53">C67</f>
        <v>0</v>
      </c>
      <c r="D87" s="127" t="s">
        <v>132</v>
      </c>
      <c r="E87" s="127" t="s">
        <v>144</v>
      </c>
      <c r="F87" s="127" t="s">
        <v>140</v>
      </c>
      <c r="G87" s="128"/>
      <c r="H87" s="128"/>
      <c r="I87" s="127"/>
      <c r="J87" s="179"/>
      <c r="K87" s="179"/>
      <c r="L87" s="179"/>
      <c r="M87" s="179"/>
      <c r="N87" s="133"/>
      <c r="O87" s="133"/>
      <c r="P87" s="17"/>
      <c r="Q87" s="17"/>
      <c r="R87" s="17"/>
      <c r="S87" s="17"/>
      <c r="T87" s="17"/>
      <c r="U87" s="17"/>
      <c r="V87" s="17"/>
      <c r="W87" s="196"/>
    </row>
    <row r="88" spans="1:23" ht="10.5" hidden="1" outlineLevel="1">
      <c r="A88" s="17"/>
      <c r="B88" s="17"/>
      <c r="C88" s="174">
        <f t="shared" si="53"/>
        <v>0</v>
      </c>
      <c r="D88" s="127" t="s">
        <v>132</v>
      </c>
      <c r="E88" s="127" t="s">
        <v>144</v>
      </c>
      <c r="F88" s="127" t="s">
        <v>140</v>
      </c>
      <c r="G88" s="128"/>
      <c r="H88" s="128"/>
      <c r="I88" s="127"/>
      <c r="J88" s="179"/>
      <c r="K88" s="179"/>
      <c r="L88" s="179"/>
      <c r="M88" s="179"/>
      <c r="N88" s="133"/>
      <c r="O88" s="133"/>
      <c r="P88" s="17"/>
      <c r="Q88" s="17"/>
      <c r="R88" s="17"/>
      <c r="S88" s="17"/>
      <c r="T88" s="17"/>
      <c r="U88" s="17"/>
      <c r="V88" s="17"/>
      <c r="W88" s="196"/>
    </row>
    <row r="89" spans="1:23" ht="10.5" hidden="1" outlineLevel="1">
      <c r="A89" s="17"/>
      <c r="B89" s="17"/>
      <c r="C89" s="174">
        <f t="shared" si="53"/>
        <v>0</v>
      </c>
      <c r="D89" s="127" t="s">
        <v>132</v>
      </c>
      <c r="E89" s="127" t="s">
        <v>144</v>
      </c>
      <c r="F89" s="127" t="s">
        <v>140</v>
      </c>
      <c r="G89" s="128"/>
      <c r="H89" s="128"/>
      <c r="I89" s="127"/>
      <c r="J89" s="179"/>
      <c r="K89" s="180"/>
      <c r="L89" s="180"/>
      <c r="M89" s="179"/>
      <c r="N89" s="133"/>
      <c r="O89" s="133"/>
      <c r="P89" s="17"/>
      <c r="Q89" s="17"/>
      <c r="R89" s="17"/>
      <c r="S89" s="17"/>
      <c r="T89" s="17"/>
      <c r="U89" s="17"/>
      <c r="V89" s="17"/>
      <c r="W89" s="17"/>
    </row>
    <row r="90" spans="1:23" ht="10.5" hidden="1" outlineLevel="1">
      <c r="A90" s="17"/>
      <c r="B90" s="17"/>
      <c r="C90" s="174">
        <f t="shared" si="53"/>
        <v>0</v>
      </c>
      <c r="D90" s="127" t="s">
        <v>132</v>
      </c>
      <c r="E90" s="127" t="s">
        <v>144</v>
      </c>
      <c r="F90" s="127" t="s">
        <v>140</v>
      </c>
      <c r="G90" s="128"/>
      <c r="H90" s="128"/>
      <c r="I90" s="127"/>
      <c r="J90" s="180"/>
      <c r="K90" s="180"/>
      <c r="L90" s="180"/>
      <c r="M90" s="180"/>
      <c r="N90" s="133"/>
      <c r="O90" s="133"/>
      <c r="P90" s="17"/>
      <c r="Q90" s="17"/>
      <c r="R90" s="17"/>
      <c r="S90" s="17"/>
      <c r="T90" s="17"/>
      <c r="U90" s="17"/>
      <c r="V90" s="17"/>
      <c r="W90" s="17"/>
    </row>
    <row r="91" spans="1:23" ht="10.5" hidden="1" outlineLevel="1">
      <c r="A91" s="17"/>
      <c r="B91" s="17"/>
      <c r="C91" s="174">
        <f t="shared" si="53"/>
        <v>0</v>
      </c>
      <c r="D91" s="127" t="s">
        <v>132</v>
      </c>
      <c r="E91" s="127" t="s">
        <v>144</v>
      </c>
      <c r="F91" s="127" t="s">
        <v>140</v>
      </c>
      <c r="G91" s="128"/>
      <c r="H91" s="128"/>
      <c r="I91" s="127"/>
      <c r="J91" s="180"/>
      <c r="K91" s="180"/>
      <c r="L91" s="180"/>
      <c r="M91" s="180"/>
      <c r="N91" s="133"/>
      <c r="O91" s="133"/>
      <c r="P91" s="17"/>
      <c r="Q91" s="17"/>
      <c r="R91" s="17"/>
      <c r="S91" s="17"/>
      <c r="T91" s="17"/>
      <c r="U91" s="17"/>
      <c r="V91" s="17"/>
      <c r="W91" s="17"/>
    </row>
    <row r="92" spans="1:23" ht="10.5" hidden="1" outlineLevel="1">
      <c r="A92" s="17"/>
      <c r="B92" s="17"/>
      <c r="C92" s="132"/>
      <c r="D92" s="127"/>
      <c r="E92" s="127"/>
      <c r="F92" s="127"/>
      <c r="G92" s="128"/>
      <c r="H92" s="128"/>
      <c r="I92" s="127"/>
      <c r="J92" s="127"/>
      <c r="K92" s="133"/>
      <c r="L92" s="133"/>
      <c r="M92" s="133"/>
      <c r="N92" s="133"/>
      <c r="O92" s="133"/>
      <c r="P92" s="17"/>
      <c r="Q92" s="17"/>
      <c r="R92" s="17"/>
      <c r="S92" s="17"/>
      <c r="T92" s="17"/>
      <c r="U92" s="17"/>
      <c r="V92" s="17"/>
      <c r="W92" s="17"/>
    </row>
    <row r="93" spans="1:23" ht="10.5" hidden="1" outlineLevel="1">
      <c r="A93" s="17"/>
      <c r="B93" s="17"/>
      <c r="C93" s="129" t="s">
        <v>151</v>
      </c>
      <c r="D93" s="128" t="s">
        <v>47</v>
      </c>
      <c r="E93" s="128" t="s">
        <v>70</v>
      </c>
      <c r="F93" s="128" t="s">
        <v>75</v>
      </c>
      <c r="G93" s="128"/>
      <c r="H93" s="128"/>
      <c r="I93" s="127"/>
      <c r="J93" s="181" t="str">
        <f>J84</f>
        <v>[Spare 1]</v>
      </c>
      <c r="K93" s="181" t="str">
        <f>K84</f>
        <v>[Spare 2]</v>
      </c>
      <c r="L93" s="181" t="str">
        <f>L84</f>
        <v>[Spare 3]</v>
      </c>
      <c r="M93" s="181" t="str">
        <f>M84</f>
        <v>[Spare 4]</v>
      </c>
      <c r="N93" s="145"/>
      <c r="O93" s="145"/>
      <c r="P93" s="145"/>
      <c r="Q93" s="145"/>
      <c r="R93" s="145"/>
      <c r="S93" s="145"/>
      <c r="T93" s="145"/>
      <c r="U93" s="145"/>
      <c r="V93" s="17"/>
      <c r="W93" s="17"/>
    </row>
    <row r="94" spans="1:23" ht="10.5" hidden="1" outlineLevel="1">
      <c r="A94" s="17"/>
      <c r="B94" s="17"/>
      <c r="C94" s="132"/>
      <c r="D94" s="127"/>
      <c r="E94" s="127"/>
      <c r="F94" s="127"/>
      <c r="G94" s="128"/>
      <c r="H94" s="128"/>
      <c r="I94" s="127"/>
      <c r="J94" s="127"/>
      <c r="K94" s="133"/>
      <c r="L94" s="133"/>
      <c r="M94" s="133"/>
      <c r="N94" s="133"/>
      <c r="O94" s="182"/>
      <c r="P94" s="182"/>
      <c r="Q94" s="182"/>
      <c r="R94" s="182"/>
      <c r="S94" s="182"/>
      <c r="T94" s="182"/>
      <c r="U94" s="182"/>
      <c r="V94" s="17"/>
      <c r="W94" s="17"/>
    </row>
    <row r="95" spans="1:23" hidden="1" outlineLevel="1">
      <c r="A95" s="17"/>
      <c r="B95" s="17"/>
      <c r="C95" s="174">
        <f t="shared" ref="C95:C100" si="54">C66</f>
        <v>0</v>
      </c>
      <c r="D95" s="127" t="s">
        <v>126</v>
      </c>
      <c r="E95" s="127" t="str">
        <f t="shared" ref="E95:E100" si="55">percent</f>
        <v>Per cent</v>
      </c>
      <c r="F95" s="127" t="s">
        <v>140</v>
      </c>
      <c r="G95" s="128"/>
      <c r="H95" s="128"/>
      <c r="I95" s="127"/>
      <c r="J95" s="183" cm="1">
        <f t="array" ref="J95">VALUE(J86)/SUM(VALUE(J$86:J$91))</f>
        <v>1</v>
      </c>
      <c r="K95" s="183" cm="1">
        <f t="array" ref="K95">VALUE(K86)/SUM(VALUE(K$86:K$91))</f>
        <v>1</v>
      </c>
      <c r="L95" s="183" cm="1">
        <f t="array" ref="L95">VALUE(L86)/SUM(VALUE(L$86:L$91))</f>
        <v>1</v>
      </c>
      <c r="M95" s="183" cm="1">
        <f t="array" ref="M95">VALUE(M86)/SUM(VALUE(M$86:M$91))</f>
        <v>1</v>
      </c>
      <c r="N95" s="184"/>
      <c r="O95" s="184"/>
      <c r="P95" s="184"/>
      <c r="Q95" s="184"/>
      <c r="R95" s="184"/>
      <c r="S95" s="184"/>
      <c r="T95" s="184"/>
      <c r="U95" s="184"/>
      <c r="V95" s="17"/>
      <c r="W95" s="17"/>
    </row>
    <row r="96" spans="1:23" hidden="1" outlineLevel="1">
      <c r="A96" s="17"/>
      <c r="B96" s="17"/>
      <c r="C96" s="174">
        <f t="shared" si="54"/>
        <v>0</v>
      </c>
      <c r="D96" s="127" t="s">
        <v>126</v>
      </c>
      <c r="E96" s="127" t="str">
        <f t="shared" si="55"/>
        <v>Per cent</v>
      </c>
      <c r="F96" s="127" t="s">
        <v>140</v>
      </c>
      <c r="G96" s="128"/>
      <c r="H96" s="128"/>
      <c r="I96" s="127"/>
      <c r="J96" s="183" cm="1">
        <f t="array" ref="J96">VALUE(J87)/SUM(VALUE(J$86:J$91))</f>
        <v>0</v>
      </c>
      <c r="K96" s="183" cm="1">
        <f t="array" ref="K96">VALUE(K87)/SUM(VALUE(K$86:K$91))</f>
        <v>0</v>
      </c>
      <c r="L96" s="183" cm="1">
        <f t="array" ref="L96">VALUE(L87)/SUM(VALUE(L$86:L$91))</f>
        <v>0</v>
      </c>
      <c r="M96" s="183" cm="1">
        <f t="array" ref="M96">VALUE(M87)/SUM(VALUE(M$86:M$91))</f>
        <v>0</v>
      </c>
      <c r="N96" s="184"/>
      <c r="O96" s="184"/>
      <c r="P96" s="184"/>
      <c r="Q96" s="184"/>
      <c r="R96" s="184"/>
      <c r="S96" s="184"/>
      <c r="T96" s="184"/>
      <c r="U96" s="184"/>
      <c r="V96" s="17"/>
      <c r="W96" s="17"/>
    </row>
    <row r="97" spans="1:34" hidden="1" outlineLevel="1">
      <c r="A97" s="17"/>
      <c r="B97" s="17"/>
      <c r="C97" s="174">
        <f t="shared" si="54"/>
        <v>0</v>
      </c>
      <c r="D97" s="127" t="s">
        <v>126</v>
      </c>
      <c r="E97" s="127" t="str">
        <f t="shared" si="55"/>
        <v>Per cent</v>
      </c>
      <c r="F97" s="127" t="s">
        <v>140</v>
      </c>
      <c r="G97" s="128"/>
      <c r="H97" s="128"/>
      <c r="I97" s="127"/>
      <c r="J97" s="183" cm="1">
        <f t="array" ref="J97">VALUE(J88)/SUM(VALUE(J$86:J$91))</f>
        <v>0</v>
      </c>
      <c r="K97" s="183" cm="1">
        <f t="array" ref="K97">VALUE(K88)/SUM(VALUE(K$86:K$91))</f>
        <v>0</v>
      </c>
      <c r="L97" s="183" cm="1">
        <f t="array" ref="L97">VALUE(L88)/SUM(VALUE(L$86:L$91))</f>
        <v>0</v>
      </c>
      <c r="M97" s="183" cm="1">
        <f t="array" ref="M97">VALUE(M88)/SUM(VALUE(M$86:M$91))</f>
        <v>0</v>
      </c>
      <c r="N97" s="184"/>
      <c r="O97" s="184"/>
      <c r="P97" s="184"/>
      <c r="Q97" s="184"/>
      <c r="R97" s="184"/>
      <c r="S97" s="184"/>
      <c r="T97" s="184"/>
      <c r="U97" s="184"/>
      <c r="V97" s="17"/>
      <c r="W97" s="17"/>
    </row>
    <row r="98" spans="1:34" hidden="1" outlineLevel="1">
      <c r="A98" s="17"/>
      <c r="B98" s="17"/>
      <c r="C98" s="174">
        <f t="shared" si="54"/>
        <v>0</v>
      </c>
      <c r="D98" s="127" t="s">
        <v>126</v>
      </c>
      <c r="E98" s="127" t="str">
        <f t="shared" si="55"/>
        <v>Per cent</v>
      </c>
      <c r="F98" s="127" t="s">
        <v>140</v>
      </c>
      <c r="G98" s="128"/>
      <c r="H98" s="128"/>
      <c r="I98" s="127"/>
      <c r="J98" s="183" cm="1">
        <f t="array" ref="J98">VALUE(J89)/SUM(VALUE(J$86:J$91))</f>
        <v>0</v>
      </c>
      <c r="K98" s="183" cm="1">
        <f t="array" ref="K98">VALUE(K89)/SUM(VALUE(K$86:K$91))</f>
        <v>0</v>
      </c>
      <c r="L98" s="183" cm="1">
        <f t="array" ref="L98">VALUE(L89)/SUM(VALUE(L$86:L$91))</f>
        <v>0</v>
      </c>
      <c r="M98" s="183" cm="1">
        <f t="array" ref="M98">VALUE(M89)/SUM(VALUE(M$86:M$91))</f>
        <v>0</v>
      </c>
      <c r="N98" s="184"/>
      <c r="O98" s="184"/>
      <c r="P98" s="184"/>
      <c r="Q98" s="184"/>
      <c r="R98" s="184"/>
      <c r="S98" s="184"/>
      <c r="T98" s="184"/>
      <c r="U98" s="184"/>
      <c r="V98" s="17"/>
      <c r="W98" s="17"/>
    </row>
    <row r="99" spans="1:34" hidden="1" outlineLevel="1">
      <c r="A99" s="17"/>
      <c r="B99" s="17"/>
      <c r="C99" s="174">
        <f t="shared" si="54"/>
        <v>0</v>
      </c>
      <c r="D99" s="127" t="s">
        <v>126</v>
      </c>
      <c r="E99" s="127" t="str">
        <f t="shared" si="55"/>
        <v>Per cent</v>
      </c>
      <c r="F99" s="127" t="s">
        <v>140</v>
      </c>
      <c r="G99" s="128"/>
      <c r="H99" s="128"/>
      <c r="I99" s="127"/>
      <c r="J99" s="183" cm="1">
        <f t="array" ref="J99">VALUE(J90)/SUM(VALUE(J$86:J$91))</f>
        <v>0</v>
      </c>
      <c r="K99" s="183" cm="1">
        <f t="array" ref="K99">VALUE(K90)/SUM(VALUE(K$86:K$91))</f>
        <v>0</v>
      </c>
      <c r="L99" s="183" cm="1">
        <f t="array" ref="L99">VALUE(L90)/SUM(VALUE(L$86:L$91))</f>
        <v>0</v>
      </c>
      <c r="M99" s="183" cm="1">
        <f t="array" ref="M99">VALUE(M90)/SUM(VALUE(M$86:M$91))</f>
        <v>0</v>
      </c>
      <c r="N99" s="184"/>
      <c r="O99" s="184"/>
      <c r="P99" s="184"/>
      <c r="Q99" s="184"/>
      <c r="R99" s="184"/>
      <c r="S99" s="184"/>
      <c r="T99" s="184"/>
      <c r="U99" s="184"/>
      <c r="V99" s="17"/>
      <c r="W99" s="17"/>
    </row>
    <row r="100" spans="1:34" hidden="1" outlineLevel="1">
      <c r="A100" s="17"/>
      <c r="B100" s="17"/>
      <c r="C100" s="174">
        <f t="shared" si="54"/>
        <v>0</v>
      </c>
      <c r="D100" s="127" t="s">
        <v>126</v>
      </c>
      <c r="E100" s="127" t="str">
        <f t="shared" si="55"/>
        <v>Per cent</v>
      </c>
      <c r="F100" s="127" t="s">
        <v>140</v>
      </c>
      <c r="G100" s="128"/>
      <c r="H100" s="128"/>
      <c r="I100" s="127"/>
      <c r="J100" s="183" cm="1">
        <f t="array" ref="J100">VALUE(J91)/SUM(VALUE(J$86:J$91))</f>
        <v>0</v>
      </c>
      <c r="K100" s="183" cm="1">
        <f t="array" ref="K100">VALUE(K91)/SUM(VALUE(K$86:K$91))</f>
        <v>0</v>
      </c>
      <c r="L100" s="183" cm="1">
        <f t="array" ref="L100">VALUE(L91)/SUM(VALUE(L$86:L$91))</f>
        <v>0</v>
      </c>
      <c r="M100" s="183" cm="1">
        <f t="array" ref="M100">VALUE(M91)/SUM(VALUE(M$86:M$91))</f>
        <v>0</v>
      </c>
      <c r="N100" s="184"/>
      <c r="O100" s="184"/>
      <c r="P100" s="184"/>
      <c r="Q100" s="184"/>
      <c r="R100" s="184"/>
      <c r="S100" s="184"/>
      <c r="T100" s="184"/>
      <c r="U100" s="184"/>
      <c r="V100" s="17"/>
      <c r="W100" s="17"/>
    </row>
    <row r="101" spans="1:34" ht="10.5" hidden="1" outlineLevel="1">
      <c r="A101" s="17"/>
      <c r="B101" s="17"/>
      <c r="C101" s="17"/>
      <c r="D101" s="127"/>
      <c r="E101" s="127"/>
      <c r="F101" s="127"/>
      <c r="G101" s="128"/>
      <c r="H101" s="128"/>
      <c r="I101" s="127"/>
      <c r="J101" s="185" t="s">
        <v>152</v>
      </c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</row>
    <row r="102" spans="1:34" ht="10.5" hidden="1" outlineLevel="1">
      <c r="A102" s="17"/>
      <c r="B102" s="17"/>
      <c r="C102" s="17" t="s">
        <v>138</v>
      </c>
      <c r="D102" s="127" t="s">
        <v>126</v>
      </c>
      <c r="E102" s="127" t="s">
        <v>139</v>
      </c>
      <c r="F102" s="127" t="s">
        <v>140</v>
      </c>
      <c r="G102" s="127"/>
      <c r="H102" s="127"/>
      <c r="I102" s="127"/>
      <c r="J102" s="172" t="str">
        <f t="array" ref="J102">IF(ISBLANK(J93),IF(ISBLANK(J95:J100),"Ok","Check"),IF(SUM(J95:J100)=1,"Ok","Check"))</f>
        <v>Ok</v>
      </c>
      <c r="K102" s="172" t="str">
        <f t="array" ref="K102">IF(ISBLANK(K93),IF(ISBLANK(K95:K100),"Ok","Check"),IF(SUM(K95:K100)=1,"Ok","Check"))</f>
        <v>Ok</v>
      </c>
      <c r="L102" s="172" t="str">
        <f t="array" ref="L102">IF(ISBLANK(L93),IF(ISBLANK(L95:L100),"Ok","Check"),IF(SUM(L95:L100)=1,"Ok","Check"))</f>
        <v>Ok</v>
      </c>
      <c r="M102" s="172" t="str">
        <f t="array" ref="M102">IF(ISBLANK(M93),IF(ISBLANK(M95:M100),"Ok","Check"),IF(SUM(M95:M100)=1,"Ok","Check"))</f>
        <v>Ok</v>
      </c>
      <c r="N102" s="172" t="str">
        <f t="array" ref="N102">IF(ISBLANK(N95:N100),"",IF(SUM(N95:N100)=1,"Ok","Check"))</f>
        <v/>
      </c>
      <c r="O102" s="172" t="str">
        <f t="array" ref="O102">IF(ISBLANK(O95:O100),"",IF(SUM(O95:O100)=1,"Ok","Check"))</f>
        <v/>
      </c>
      <c r="P102" s="172" t="str">
        <f t="array" ref="P102">IF(ISBLANK(P95:P100),"",IF(SUM(P95:P100)=1,"Ok","Check"))</f>
        <v/>
      </c>
      <c r="Q102" s="172" t="str">
        <f t="array" ref="Q102">IF(ISBLANK(Q95:Q100),"",IF(SUM(Q95:Q100)=1,"Ok","Check"))</f>
        <v/>
      </c>
      <c r="R102" s="172" t="str">
        <f t="array" ref="R102">IF(ISBLANK(R95:R100),"",IF(SUM(R95:R100)=1,"Ok","Check"))</f>
        <v/>
      </c>
      <c r="S102" s="172" t="str">
        <f t="array" ref="S102">IF(ISBLANK(S95:S100),"",IF(SUM(S95:S100)=1,"Ok","Check"))</f>
        <v/>
      </c>
      <c r="T102" s="172" t="str">
        <f t="array" ref="T102">IF(ISBLANK(T95:T100),"",IF(SUM(T95:T100)=1,"Ok","Check"))</f>
        <v/>
      </c>
      <c r="U102" s="172"/>
      <c r="V102" s="173"/>
      <c r="W102" s="17"/>
      <c r="X102" s="84" t="str">
        <f>IF(COUNTIF(K102:T102,"Check")=0,"Ok","Check")</f>
        <v>Ok</v>
      </c>
    </row>
    <row r="103" spans="1:34" ht="10.5" hidden="1" outlineLevel="1">
      <c r="A103" s="17"/>
      <c r="B103" s="17"/>
      <c r="C103" s="17"/>
      <c r="D103" s="127"/>
      <c r="E103" s="127"/>
      <c r="F103" s="127"/>
      <c r="G103" s="127"/>
      <c r="H103" s="127"/>
      <c r="I103" s="127"/>
      <c r="J103" s="172"/>
      <c r="K103" s="172"/>
      <c r="L103" s="172"/>
      <c r="M103" s="172"/>
      <c r="N103" s="172"/>
      <c r="O103" s="172"/>
      <c r="P103" s="172"/>
      <c r="Q103" s="172"/>
      <c r="R103" s="172"/>
      <c r="S103" s="172"/>
      <c r="T103" s="172"/>
      <c r="U103" s="172"/>
      <c r="V103" s="173"/>
      <c r="W103" s="17"/>
      <c r="X103" s="85"/>
    </row>
    <row r="104" spans="1:34" ht="10.5" hidden="1" outlineLevel="1">
      <c r="A104" s="17"/>
      <c r="B104" s="17"/>
      <c r="C104" s="129" t="s">
        <v>153</v>
      </c>
      <c r="D104" s="128" t="s">
        <v>47</v>
      </c>
      <c r="E104" s="128" t="s">
        <v>70</v>
      </c>
      <c r="F104" s="128" t="s">
        <v>75</v>
      </c>
      <c r="G104" s="127"/>
      <c r="H104" s="127"/>
      <c r="I104" s="127"/>
      <c r="J104" s="145" t="str">
        <f t="shared" ref="J104:T104" si="56">IF(YEAR(J$4)&gt;BaseYear,IF(YEAR(J$4)&lt;=FPLastYear,J$4,""),"")</f>
        <v/>
      </c>
      <c r="K104" s="145" t="str">
        <f t="shared" si="56"/>
        <v/>
      </c>
      <c r="L104" s="145" t="str">
        <f t="shared" si="56"/>
        <v/>
      </c>
      <c r="M104" s="145" t="str">
        <f t="shared" si="56"/>
        <v/>
      </c>
      <c r="N104" s="145" t="str">
        <f t="shared" si="56"/>
        <v/>
      </c>
      <c r="O104" s="145">
        <f t="shared" si="56"/>
        <v>45444</v>
      </c>
      <c r="P104" s="145">
        <f t="shared" si="56"/>
        <v>45809</v>
      </c>
      <c r="Q104" s="145">
        <f t="shared" si="56"/>
        <v>46174</v>
      </c>
      <c r="R104" s="145">
        <f t="shared" si="56"/>
        <v>46539</v>
      </c>
      <c r="S104" s="145" t="str">
        <f t="shared" si="56"/>
        <v/>
      </c>
      <c r="T104" s="145" t="str">
        <f t="shared" si="56"/>
        <v/>
      </c>
      <c r="U104" s="145" t="str">
        <f t="shared" ref="U104" si="57">IF(YEAR(U$4)&gt;=BaseYear,IF(YEAR(U$4)&lt;=FPLastYear,U$4,""),"")</f>
        <v/>
      </c>
      <c r="V104" s="173"/>
      <c r="W104" s="17"/>
      <c r="X104" s="85"/>
    </row>
    <row r="105" spans="1:34" ht="10.5" hidden="1" outlineLevel="1">
      <c r="A105" s="17"/>
      <c r="B105" s="17"/>
      <c r="C105" s="17"/>
      <c r="D105" s="127"/>
      <c r="E105" s="127"/>
      <c r="F105" s="127"/>
      <c r="G105" s="127"/>
      <c r="H105" s="127"/>
      <c r="I105" s="127"/>
      <c r="J105" s="172"/>
      <c r="K105" s="172"/>
      <c r="L105" s="172"/>
      <c r="M105" s="172"/>
      <c r="N105" s="172"/>
      <c r="O105" s="172"/>
      <c r="P105" s="172"/>
      <c r="Q105" s="172"/>
      <c r="R105" s="172"/>
      <c r="S105" s="172"/>
      <c r="T105" s="172"/>
      <c r="U105" s="172"/>
      <c r="V105" s="173"/>
      <c r="W105" s="17"/>
      <c r="X105" s="85"/>
    </row>
    <row r="106" spans="1:34" ht="10.5" hidden="1" outlineLevel="1">
      <c r="A106" s="17"/>
      <c r="B106" s="17"/>
      <c r="C106" s="174" t="str">
        <f t="array" ref="C106:C109">TRANSPOSE(J93:M93)</f>
        <v>[Spare 1]</v>
      </c>
      <c r="D106" s="127" t="s">
        <v>126</v>
      </c>
      <c r="E106" s="127" t="s">
        <v>144</v>
      </c>
      <c r="F106" s="127" t="s">
        <v>140</v>
      </c>
      <c r="G106" s="127"/>
      <c r="H106" s="127"/>
      <c r="I106" s="127"/>
      <c r="J106" s="177" t="str">
        <f t="shared" ref="J106:U106" si="58">IF(J$104=J$4,SUMPRODUCT(J$77:J$82,$J$95:$J$100),"")</f>
        <v/>
      </c>
      <c r="K106" s="177" t="str">
        <f t="shared" si="58"/>
        <v/>
      </c>
      <c r="L106" s="177" t="str">
        <f t="shared" si="58"/>
        <v/>
      </c>
      <c r="M106" s="177" t="str">
        <f t="shared" si="58"/>
        <v/>
      </c>
      <c r="N106" s="177" t="str">
        <f t="shared" si="58"/>
        <v/>
      </c>
      <c r="O106" s="177">
        <f t="shared" si="58"/>
        <v>0</v>
      </c>
      <c r="P106" s="177">
        <f t="shared" si="58"/>
        <v>0</v>
      </c>
      <c r="Q106" s="177">
        <f t="shared" si="58"/>
        <v>0</v>
      </c>
      <c r="R106" s="177">
        <f t="shared" si="58"/>
        <v>0</v>
      </c>
      <c r="S106" s="177" t="str">
        <f t="shared" si="58"/>
        <v/>
      </c>
      <c r="T106" s="177" t="str">
        <f t="shared" si="58"/>
        <v/>
      </c>
      <c r="U106" s="177" t="str">
        <f t="shared" si="58"/>
        <v/>
      </c>
      <c r="V106" s="173"/>
      <c r="W106" s="17"/>
      <c r="X106" s="85"/>
    </row>
    <row r="107" spans="1:34" ht="10.5" hidden="1" outlineLevel="1">
      <c r="A107" s="17"/>
      <c r="B107" s="17"/>
      <c r="C107" s="174" t="str">
        <v>[Spare 2]</v>
      </c>
      <c r="D107" s="127" t="s">
        <v>126</v>
      </c>
      <c r="E107" s="127" t="s">
        <v>144</v>
      </c>
      <c r="F107" s="127" t="s">
        <v>140</v>
      </c>
      <c r="G107" s="127"/>
      <c r="H107" s="127"/>
      <c r="I107" s="127"/>
      <c r="J107" s="177" t="str">
        <f t="shared" ref="J107:U107" si="59">IF(J$104=J$4,SUMPRODUCT(J$77:J$82,$K$95:$K$100),"")</f>
        <v/>
      </c>
      <c r="K107" s="177" t="str">
        <f t="shared" si="59"/>
        <v/>
      </c>
      <c r="L107" s="177" t="str">
        <f t="shared" si="59"/>
        <v/>
      </c>
      <c r="M107" s="177" t="str">
        <f t="shared" si="59"/>
        <v/>
      </c>
      <c r="N107" s="177" t="str">
        <f t="shared" si="59"/>
        <v/>
      </c>
      <c r="O107" s="177">
        <f t="shared" si="59"/>
        <v>0</v>
      </c>
      <c r="P107" s="177">
        <f t="shared" si="59"/>
        <v>0</v>
      </c>
      <c r="Q107" s="177">
        <f t="shared" si="59"/>
        <v>0</v>
      </c>
      <c r="R107" s="177">
        <f t="shared" si="59"/>
        <v>0</v>
      </c>
      <c r="S107" s="177" t="str">
        <f t="shared" si="59"/>
        <v/>
      </c>
      <c r="T107" s="177" t="str">
        <f t="shared" si="59"/>
        <v/>
      </c>
      <c r="U107" s="177" t="str">
        <f t="shared" si="59"/>
        <v/>
      </c>
      <c r="V107" s="173"/>
      <c r="W107" s="17"/>
      <c r="X107" s="85"/>
    </row>
    <row r="108" spans="1:34" ht="10.5" hidden="1" outlineLevel="1">
      <c r="A108" s="17"/>
      <c r="B108" s="17"/>
      <c r="C108" s="174" t="str">
        <v>[Spare 3]</v>
      </c>
      <c r="D108" s="127" t="s">
        <v>126</v>
      </c>
      <c r="E108" s="127" t="s">
        <v>144</v>
      </c>
      <c r="F108" s="127" t="s">
        <v>140</v>
      </c>
      <c r="G108" s="127"/>
      <c r="H108" s="127"/>
      <c r="I108" s="127"/>
      <c r="J108" s="177" t="str">
        <f t="shared" ref="J108:U108" si="60">IF(J$104=J$4,SUMPRODUCT(J$77:J$82,$L$95:$L$100),"")</f>
        <v/>
      </c>
      <c r="K108" s="177" t="str">
        <f t="shared" si="60"/>
        <v/>
      </c>
      <c r="L108" s="177" t="str">
        <f t="shared" si="60"/>
        <v/>
      </c>
      <c r="M108" s="177" t="str">
        <f t="shared" si="60"/>
        <v/>
      </c>
      <c r="N108" s="177" t="str">
        <f t="shared" si="60"/>
        <v/>
      </c>
      <c r="O108" s="177">
        <f t="shared" si="60"/>
        <v>0</v>
      </c>
      <c r="P108" s="177">
        <f t="shared" si="60"/>
        <v>0</v>
      </c>
      <c r="Q108" s="177">
        <f t="shared" si="60"/>
        <v>0</v>
      </c>
      <c r="R108" s="177">
        <f t="shared" si="60"/>
        <v>0</v>
      </c>
      <c r="S108" s="177" t="str">
        <f t="shared" si="60"/>
        <v/>
      </c>
      <c r="T108" s="177" t="str">
        <f t="shared" si="60"/>
        <v/>
      </c>
      <c r="U108" s="177" t="str">
        <f t="shared" si="60"/>
        <v/>
      </c>
      <c r="V108" s="173"/>
      <c r="W108" s="17"/>
      <c r="X108" s="85"/>
    </row>
    <row r="109" spans="1:34" ht="10.5" hidden="1" outlineLevel="1">
      <c r="A109" s="17"/>
      <c r="B109" s="17"/>
      <c r="C109" s="174" t="str">
        <v>[Spare 4]</v>
      </c>
      <c r="D109" s="127" t="s">
        <v>126</v>
      </c>
      <c r="E109" s="127" t="s">
        <v>144</v>
      </c>
      <c r="F109" s="127" t="s">
        <v>140</v>
      </c>
      <c r="G109" s="127"/>
      <c r="H109" s="127"/>
      <c r="I109" s="127"/>
      <c r="J109" s="177" t="str">
        <f t="shared" ref="J109:U109" si="61">IF(J$104=J$4,SUMPRODUCT(J$77:J$82,$M$95:$M$100),"")</f>
        <v/>
      </c>
      <c r="K109" s="177" t="str">
        <f t="shared" si="61"/>
        <v/>
      </c>
      <c r="L109" s="177" t="str">
        <f t="shared" si="61"/>
        <v/>
      </c>
      <c r="M109" s="177" t="str">
        <f t="shared" si="61"/>
        <v/>
      </c>
      <c r="N109" s="177" t="str">
        <f t="shared" si="61"/>
        <v/>
      </c>
      <c r="O109" s="177">
        <f t="shared" si="61"/>
        <v>0</v>
      </c>
      <c r="P109" s="177">
        <f t="shared" si="61"/>
        <v>0</v>
      </c>
      <c r="Q109" s="177">
        <f t="shared" si="61"/>
        <v>0</v>
      </c>
      <c r="R109" s="177">
        <f t="shared" si="61"/>
        <v>0</v>
      </c>
      <c r="S109" s="177" t="str">
        <f t="shared" si="61"/>
        <v/>
      </c>
      <c r="T109" s="177" t="str">
        <f t="shared" si="61"/>
        <v/>
      </c>
      <c r="U109" s="177" t="str">
        <f t="shared" si="61"/>
        <v/>
      </c>
      <c r="V109" s="173"/>
      <c r="W109" s="17"/>
      <c r="X109" s="85"/>
    </row>
    <row r="110" spans="1:34" ht="10.5" hidden="1" outlineLevel="1">
      <c r="A110" s="17"/>
      <c r="B110" s="17"/>
      <c r="C110" s="132"/>
      <c r="D110" s="127"/>
      <c r="E110" s="127"/>
      <c r="F110" s="127"/>
      <c r="G110" s="128"/>
      <c r="H110" s="128"/>
      <c r="I110" s="127"/>
      <c r="J110" s="127"/>
      <c r="K110" s="133"/>
      <c r="L110" s="133"/>
      <c r="M110" s="133"/>
      <c r="N110" s="133"/>
      <c r="O110" s="133"/>
      <c r="P110" s="17"/>
      <c r="Q110" s="17"/>
      <c r="R110" s="17"/>
      <c r="S110" s="17"/>
      <c r="T110" s="17"/>
      <c r="U110" s="17"/>
      <c r="V110" s="17"/>
      <c r="W110" s="17"/>
    </row>
    <row r="111" spans="1:34" customFormat="1" ht="12.3" collapsed="1">
      <c r="A111" s="34"/>
      <c r="B111" s="40" t="s">
        <v>154</v>
      </c>
      <c r="C111" s="34"/>
      <c r="D111" s="34"/>
      <c r="E111" s="34"/>
      <c r="F111" s="125"/>
      <c r="G111" s="125"/>
      <c r="H111" s="125"/>
      <c r="I111" s="125"/>
      <c r="J111" s="125"/>
      <c r="K111" s="36"/>
      <c r="L111" s="126"/>
      <c r="M111" s="36"/>
      <c r="N111" s="126"/>
      <c r="O111" s="36"/>
      <c r="P111" s="36"/>
      <c r="Q111" s="36"/>
      <c r="R111" s="36"/>
      <c r="S111" s="36"/>
      <c r="T111" s="36"/>
      <c r="U111" s="36"/>
      <c r="V111" s="36"/>
      <c r="W111" s="36"/>
      <c r="X111" s="37"/>
      <c r="Y111" s="38"/>
      <c r="Z111" s="38"/>
      <c r="AA111" s="38"/>
      <c r="AB111" s="38"/>
      <c r="AC111" s="38"/>
      <c r="AD111" s="38"/>
      <c r="AE111" s="38"/>
      <c r="AF111" s="38"/>
      <c r="AG111" s="39"/>
      <c r="AH111" s="39"/>
    </row>
    <row r="112" spans="1:34" outlineLevel="1">
      <c r="A112" s="17"/>
      <c r="B112" s="17"/>
      <c r="C112" s="17"/>
      <c r="D112" s="127"/>
      <c r="E112" s="127"/>
      <c r="F112" s="127"/>
      <c r="G112" s="128"/>
      <c r="H112" s="128"/>
      <c r="I112" s="127"/>
      <c r="J112" s="12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</row>
    <row r="113" spans="1:34" ht="10.5" outlineLevel="1">
      <c r="A113" s="17"/>
      <c r="B113" s="17"/>
      <c r="C113" s="129" t="s">
        <v>155</v>
      </c>
      <c r="D113" s="128" t="s">
        <v>47</v>
      </c>
      <c r="E113" s="128" t="s">
        <v>70</v>
      </c>
      <c r="F113" s="128" t="s">
        <v>75</v>
      </c>
      <c r="G113" s="128"/>
      <c r="H113" s="128"/>
      <c r="I113" s="127"/>
      <c r="J113" s="145" t="str">
        <f t="shared" ref="J113:T113" si="62">IF(YEAR(J$4)&gt;BaseYear,IF(YEAR(J$4)&lt;=FPLastYear,J$4,""),"")</f>
        <v/>
      </c>
      <c r="K113" s="145" t="str">
        <f t="shared" si="62"/>
        <v/>
      </c>
      <c r="L113" s="145" t="str">
        <f t="shared" si="62"/>
        <v/>
      </c>
      <c r="M113" s="145" t="str">
        <f t="shared" si="62"/>
        <v/>
      </c>
      <c r="N113" s="145" t="str">
        <f t="shared" si="62"/>
        <v/>
      </c>
      <c r="O113" s="145">
        <f t="shared" si="62"/>
        <v>45444</v>
      </c>
      <c r="P113" s="145">
        <f t="shared" si="62"/>
        <v>45809</v>
      </c>
      <c r="Q113" s="145">
        <f t="shared" si="62"/>
        <v>46174</v>
      </c>
      <c r="R113" s="145">
        <f t="shared" si="62"/>
        <v>46539</v>
      </c>
      <c r="S113" s="145" t="str">
        <f t="shared" si="62"/>
        <v/>
      </c>
      <c r="T113" s="145" t="str">
        <f t="shared" si="62"/>
        <v/>
      </c>
      <c r="U113" s="145" t="str">
        <f t="shared" ref="U113" si="63">IF(YEAR(U$4)&gt;=BaseYear,IF(YEAR(U$4)&lt;=FPLastYear,U$4,""),"")</f>
        <v/>
      </c>
      <c r="V113" s="17"/>
      <c r="W113" s="17"/>
    </row>
    <row r="114" spans="1:34" ht="10.5" outlineLevel="1">
      <c r="A114" s="17"/>
      <c r="B114" s="17"/>
      <c r="C114" s="132"/>
      <c r="D114" s="127"/>
      <c r="E114" s="127"/>
      <c r="F114" s="127"/>
      <c r="G114" s="128"/>
      <c r="H114" s="128"/>
      <c r="I114" s="127"/>
      <c r="J114" s="127"/>
      <c r="K114" s="133"/>
      <c r="L114" s="133"/>
      <c r="M114" s="133"/>
      <c r="N114" s="133"/>
      <c r="O114" s="133"/>
      <c r="P114" s="17"/>
      <c r="Q114" s="17"/>
      <c r="R114" s="17"/>
      <c r="S114" s="17"/>
      <c r="T114" s="17"/>
      <c r="U114" s="17"/>
      <c r="V114" s="17"/>
      <c r="W114" s="17"/>
    </row>
    <row r="115" spans="1:34" ht="10.5" outlineLevel="1">
      <c r="A115" s="17"/>
      <c r="B115" s="17"/>
      <c r="C115" s="132" t="s">
        <v>155</v>
      </c>
      <c r="D115" s="127" t="s">
        <v>132</v>
      </c>
      <c r="E115" s="127" t="str">
        <f>percent</f>
        <v>Per cent</v>
      </c>
      <c r="F115" s="127" t="s">
        <v>140</v>
      </c>
      <c r="G115" s="128"/>
      <c r="H115" s="128"/>
      <c r="I115" s="127"/>
      <c r="J115" s="164"/>
      <c r="K115" s="186"/>
      <c r="L115" s="186"/>
      <c r="M115" s="186"/>
      <c r="N115" s="175"/>
      <c r="O115" s="175">
        <v>0</v>
      </c>
      <c r="P115" s="175">
        <v>0</v>
      </c>
      <c r="Q115" s="175">
        <v>0</v>
      </c>
      <c r="R115" s="175">
        <v>0</v>
      </c>
      <c r="S115" s="175"/>
      <c r="T115" s="175"/>
      <c r="U115" s="175"/>
      <c r="V115" s="17"/>
      <c r="W115" s="17"/>
    </row>
    <row r="116" spans="1:34" ht="10.5" outlineLevel="1">
      <c r="A116" s="17"/>
      <c r="B116" s="17"/>
      <c r="C116" s="132"/>
      <c r="D116" s="127"/>
      <c r="E116" s="127"/>
      <c r="F116" s="127"/>
      <c r="G116" s="128"/>
      <c r="H116" s="128"/>
      <c r="I116" s="127"/>
      <c r="J116" s="127"/>
      <c r="K116" s="133"/>
      <c r="L116" s="133"/>
      <c r="M116" s="133"/>
      <c r="N116" s="133"/>
      <c r="O116" s="133"/>
      <c r="P116" s="187"/>
      <c r="Q116" s="187"/>
      <c r="R116" s="187"/>
      <c r="S116" s="187"/>
      <c r="T116" s="187"/>
      <c r="U116" s="187"/>
      <c r="V116" s="17"/>
      <c r="W116" s="17"/>
    </row>
    <row r="117" spans="1:34" ht="10.5" outlineLevel="1">
      <c r="A117" s="17"/>
      <c r="B117" s="17"/>
      <c r="C117" s="17" t="s">
        <v>138</v>
      </c>
      <c r="D117" s="127" t="s">
        <v>126</v>
      </c>
      <c r="E117" s="127" t="s">
        <v>139</v>
      </c>
      <c r="F117" s="127" t="s">
        <v>140</v>
      </c>
      <c r="G117" s="127"/>
      <c r="H117" s="127"/>
      <c r="I117" s="127"/>
      <c r="J117" s="172" t="str">
        <f t="shared" ref="J117:S117" si="64">IF(J113=J$4,IF(ISBLANK(J115),"Check","Ok"),"")</f>
        <v/>
      </c>
      <c r="K117" s="172" t="str">
        <f t="shared" si="64"/>
        <v/>
      </c>
      <c r="L117" s="172" t="str">
        <f t="shared" si="64"/>
        <v/>
      </c>
      <c r="M117" s="172" t="str">
        <f t="shared" si="64"/>
        <v/>
      </c>
      <c r="N117" s="172" t="str">
        <f t="shared" si="64"/>
        <v/>
      </c>
      <c r="O117" s="172" t="str">
        <f t="shared" si="64"/>
        <v>Ok</v>
      </c>
      <c r="P117" s="172" t="str">
        <f t="shared" si="64"/>
        <v>Ok</v>
      </c>
      <c r="Q117" s="172" t="str">
        <f t="shared" si="64"/>
        <v>Ok</v>
      </c>
      <c r="R117" s="172" t="str">
        <f t="shared" si="64"/>
        <v>Ok</v>
      </c>
      <c r="S117" s="172" t="str">
        <f t="shared" si="64"/>
        <v/>
      </c>
      <c r="T117" s="172" t="str">
        <f>IF(T113=T$4,IF(ISBLANK(T115),"Check","Ok"),"")</f>
        <v/>
      </c>
      <c r="U117" s="172" t="str">
        <f>IF(U113=U$4,IF(ISBLANK(U115),"Check","Ok"),"")</f>
        <v/>
      </c>
      <c r="V117" s="173"/>
      <c r="W117" s="17"/>
      <c r="X117" s="84" t="str">
        <f>IF(COUNTIF(J117:T117,"Check")=0,"Ok","Check")</f>
        <v>Ok</v>
      </c>
    </row>
    <row r="118" spans="1:34" ht="10.5" outlineLevel="1">
      <c r="A118" s="17"/>
      <c r="B118" s="17"/>
      <c r="C118" s="132"/>
      <c r="D118" s="127"/>
      <c r="E118" s="127"/>
      <c r="F118" s="127"/>
      <c r="G118" s="128"/>
      <c r="H118" s="128"/>
      <c r="I118" s="127"/>
      <c r="J118" s="127"/>
      <c r="K118" s="133"/>
      <c r="L118" s="133"/>
      <c r="M118" s="133"/>
      <c r="N118" s="133"/>
      <c r="O118" s="133"/>
      <c r="P118" s="17"/>
      <c r="Q118" s="17"/>
      <c r="R118" s="17"/>
      <c r="S118" s="17"/>
      <c r="T118" s="17"/>
      <c r="U118" s="17"/>
      <c r="V118" s="17"/>
      <c r="W118" s="17"/>
    </row>
    <row r="119" spans="1:34" customFormat="1" ht="12.3">
      <c r="A119" s="34"/>
      <c r="B119" s="40" t="s">
        <v>37</v>
      </c>
      <c r="C119" s="34"/>
      <c r="D119" s="34"/>
      <c r="E119" s="34"/>
      <c r="F119" s="125"/>
      <c r="G119" s="125"/>
      <c r="H119" s="125"/>
      <c r="I119" s="125"/>
      <c r="J119" s="125"/>
      <c r="K119" s="36"/>
      <c r="L119" s="126"/>
      <c r="M119" s="36"/>
      <c r="N119" s="126"/>
      <c r="O119" s="36"/>
      <c r="P119" s="36"/>
      <c r="Q119" s="36"/>
      <c r="R119" s="36"/>
      <c r="S119" s="36"/>
      <c r="T119" s="36"/>
      <c r="U119" s="36"/>
      <c r="V119" s="36"/>
      <c r="W119" s="36"/>
      <c r="X119" s="37"/>
      <c r="Y119" s="38"/>
      <c r="Z119" s="38"/>
      <c r="AA119" s="38"/>
      <c r="AB119" s="38"/>
      <c r="AC119" s="38"/>
      <c r="AD119" s="38"/>
      <c r="AE119" s="38"/>
      <c r="AF119" s="38"/>
      <c r="AG119" s="39"/>
      <c r="AH119" s="39"/>
    </row>
  </sheetData>
  <mergeCells count="2">
    <mergeCell ref="K3:M3"/>
    <mergeCell ref="O3:T3"/>
  </mergeCells>
  <conditionalFormatting sqref="J66:L68 N66:U68 M66:T70 J69:U71">
    <cfRule type="expression" dxfId="108" priority="34">
      <formula>J$64=J$4</formula>
    </cfRule>
  </conditionalFormatting>
  <conditionalFormatting sqref="J38:M45">
    <cfRule type="expression" dxfId="107" priority="59">
      <formula>J$36=J$4</formula>
    </cfRule>
  </conditionalFormatting>
  <conditionalFormatting sqref="J16:U22">
    <cfRule type="cellIs" dxfId="106" priority="26" operator="equal">
      <formula>0</formula>
    </cfRule>
  </conditionalFormatting>
  <conditionalFormatting sqref="J26:U32">
    <cfRule type="cellIs" dxfId="105" priority="27" operator="equal">
      <formula>0</formula>
    </cfRule>
  </conditionalFormatting>
  <conditionalFormatting sqref="J36:U36">
    <cfRule type="expression" dxfId="104" priority="61">
      <formula>J$36=J$4</formula>
    </cfRule>
  </conditionalFormatting>
  <conditionalFormatting sqref="J47:U47">
    <cfRule type="cellIs" dxfId="103" priority="47" operator="equal">
      <formula>"Ok"</formula>
    </cfRule>
    <cfRule type="cellIs" dxfId="102" priority="46" operator="equal">
      <formula>"Check"</formula>
    </cfRule>
  </conditionalFormatting>
  <conditionalFormatting sqref="J49:U49">
    <cfRule type="expression" dxfId="101" priority="31">
      <formula>J$36=J$4</formula>
    </cfRule>
  </conditionalFormatting>
  <conditionalFormatting sqref="J51:U58">
    <cfRule type="expression" dxfId="100" priority="3">
      <formula>J$49=J$4</formula>
    </cfRule>
  </conditionalFormatting>
  <conditionalFormatting sqref="J60:U60">
    <cfRule type="cellIs" dxfId="99" priority="70" operator="equal">
      <formula>"Check"</formula>
    </cfRule>
    <cfRule type="cellIs" dxfId="98" priority="71" operator="equal">
      <formula>"Ok"</formula>
    </cfRule>
  </conditionalFormatting>
  <conditionalFormatting sqref="J64:U64">
    <cfRule type="expression" dxfId="97" priority="36">
      <formula>J$64=J$4</formula>
    </cfRule>
  </conditionalFormatting>
  <conditionalFormatting sqref="J73:U73">
    <cfRule type="cellIs" dxfId="96" priority="42" operator="equal">
      <formula>"Check"</formula>
    </cfRule>
    <cfRule type="cellIs" dxfId="95" priority="43" operator="equal">
      <formula>"Ok"</formula>
    </cfRule>
  </conditionalFormatting>
  <conditionalFormatting sqref="J102:U103 J105:U105">
    <cfRule type="cellIs" dxfId="94" priority="19" operator="equal">
      <formula>"Check"</formula>
    </cfRule>
    <cfRule type="cellIs" dxfId="93" priority="20" operator="equal">
      <formula>"Ok"</formula>
    </cfRule>
  </conditionalFormatting>
  <conditionalFormatting sqref="J104:U104">
    <cfRule type="expression" dxfId="92" priority="176">
      <formula>J$104=J$4</formula>
    </cfRule>
  </conditionalFormatting>
  <conditionalFormatting sqref="J113:U113">
    <cfRule type="expression" dxfId="91" priority="29">
      <formula>J$36=J$4</formula>
    </cfRule>
  </conditionalFormatting>
  <conditionalFormatting sqref="J115:U115">
    <cfRule type="expression" dxfId="90" priority="177">
      <formula>J$113=J$4</formula>
    </cfRule>
  </conditionalFormatting>
  <conditionalFormatting sqref="J117:U117">
    <cfRule type="cellIs" dxfId="89" priority="51" operator="equal">
      <formula>"Ok"</formula>
    </cfRule>
    <cfRule type="cellIs" dxfId="88" priority="50" operator="equal">
      <formula>"Check"</formula>
    </cfRule>
  </conditionalFormatting>
  <conditionalFormatting sqref="J75:V75">
    <cfRule type="expression" dxfId="87" priority="30">
      <formula>J$36=J$4</formula>
    </cfRule>
  </conditionalFormatting>
  <conditionalFormatting sqref="L87:M88 K89:M91">
    <cfRule type="expression" dxfId="86" priority="178">
      <formula>K$93=K$4</formula>
    </cfRule>
  </conditionalFormatting>
  <conditionalFormatting sqref="N38:T40 O38:R45">
    <cfRule type="expression" dxfId="85" priority="1">
      <formula>N$36=N$4</formula>
    </cfRule>
  </conditionalFormatting>
  <conditionalFormatting sqref="N41:U45">
    <cfRule type="expression" dxfId="84" priority="2">
      <formula>N$36=N$4</formula>
    </cfRule>
  </conditionalFormatting>
  <conditionalFormatting sqref="T1:U1">
    <cfRule type="cellIs" dxfId="83" priority="90" operator="equal">
      <formula>"Check"</formula>
    </cfRule>
    <cfRule type="cellIs" dxfId="82" priority="91" operator="equal">
      <formula>"Ok"</formula>
    </cfRule>
  </conditionalFormatting>
  <conditionalFormatting sqref="X1">
    <cfRule type="cellIs" dxfId="81" priority="126" operator="equal">
      <formula>"Check"</formula>
    </cfRule>
    <cfRule type="cellIs" dxfId="80" priority="127" operator="equal">
      <formula>"Ok"</formula>
    </cfRule>
  </conditionalFormatting>
  <conditionalFormatting sqref="X47">
    <cfRule type="cellIs" dxfId="79" priority="48" operator="equal">
      <formula>"Check"</formula>
    </cfRule>
    <cfRule type="cellIs" dxfId="78" priority="49" operator="equal">
      <formula>"Ok"</formula>
    </cfRule>
  </conditionalFormatting>
  <conditionalFormatting sqref="X60">
    <cfRule type="cellIs" dxfId="77" priority="78" operator="equal">
      <formula>"Check"</formula>
    </cfRule>
    <cfRule type="cellIs" dxfId="76" priority="79" operator="equal">
      <formula>"Ok"</formula>
    </cfRule>
  </conditionalFormatting>
  <conditionalFormatting sqref="X73">
    <cfRule type="cellIs" dxfId="75" priority="44" operator="equal">
      <formula>"Check"</formula>
    </cfRule>
    <cfRule type="cellIs" dxfId="74" priority="45" operator="equal">
      <formula>"Ok"</formula>
    </cfRule>
  </conditionalFormatting>
  <conditionalFormatting sqref="X102:X109">
    <cfRule type="cellIs" dxfId="73" priority="23" operator="equal">
      <formula>"Ok"</formula>
    </cfRule>
    <cfRule type="cellIs" dxfId="72" priority="22" operator="equal">
      <formula>"Check"</formula>
    </cfRule>
  </conditionalFormatting>
  <conditionalFormatting sqref="X117">
    <cfRule type="cellIs" dxfId="71" priority="52" operator="equal">
      <formula>"Check"</formula>
    </cfRule>
    <cfRule type="cellIs" dxfId="70" priority="53" operator="equal">
      <formula>"Ok"</formula>
    </cfRule>
  </conditionalFormatting>
  <dataValidations disablePrompts="1" count="1">
    <dataValidation type="list" allowBlank="1" showInputMessage="1" showErrorMessage="1" sqref="F118 F74 F110 F94 F83 F85 F92" xr:uid="{00000000-0002-0000-0500-000000000000}">
      <formula1>#REF!</formula1>
    </dataValidation>
  </dataValidations>
  <hyperlinks>
    <hyperlink ref="K1" location="Index!A1" display="Back to Index" xr:uid="{00000000-0004-0000-0500-000000000000}"/>
    <hyperlink ref="W1" location="'Check|List'!A1" display="Overall Check:" xr:uid="{00000000-0004-0000-0500-000001000000}"/>
  </hyperlinks>
  <pageMargins left="0.7" right="0.7" top="0.75" bottom="0.75" header="0.3" footer="0.3"/>
  <pageSetup paperSize="9" orientation="portrait" verticalDpi="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1"/>
  <sheetViews>
    <sheetView showGridLines="0" zoomScaleNormal="100" workbookViewId="0"/>
  </sheetViews>
  <sheetFormatPr defaultColWidth="0" defaultRowHeight="10.199999999999999" zeroHeight="1" outlineLevelRow="1"/>
  <cols>
    <col min="1" max="2" width="1.46484375" customWidth="1"/>
    <col min="3" max="3" width="48" bestFit="1" customWidth="1"/>
    <col min="4" max="4" width="27.6640625" customWidth="1"/>
    <col min="5" max="5" width="15.796875" customWidth="1"/>
    <col min="6" max="6" width="10.6640625" customWidth="1"/>
    <col min="7" max="7" width="15.6640625" bestFit="1" customWidth="1"/>
    <col min="8" max="8" width="18.33203125" customWidth="1"/>
    <col min="9" max="9" width="17.6640625" customWidth="1"/>
    <col min="10" max="23" width="10.796875" customWidth="1"/>
    <col min="24" max="47" width="10.46484375" hidden="1" customWidth="1"/>
    <col min="48" max="16384" width="9.33203125" hidden="1"/>
  </cols>
  <sheetData>
    <row r="1" spans="1:47" s="29" customFormat="1" ht="15">
      <c r="B1" s="26" t="str">
        <f>Index!$B$1</f>
        <v>AER opex model - version: NTESMO 2024-27</v>
      </c>
      <c r="C1" s="26"/>
      <c r="D1" s="26"/>
      <c r="E1" s="26"/>
      <c r="F1" s="27"/>
      <c r="G1" s="27"/>
      <c r="H1" s="27"/>
      <c r="I1" s="27"/>
      <c r="J1" s="28" t="s">
        <v>38</v>
      </c>
      <c r="L1" s="30" t="s">
        <v>39</v>
      </c>
      <c r="M1" s="48" t="s">
        <v>40</v>
      </c>
      <c r="N1" s="11" t="s">
        <v>41</v>
      </c>
      <c r="O1" s="12" t="s">
        <v>42</v>
      </c>
      <c r="R1" s="30" t="s">
        <v>43</v>
      </c>
      <c r="S1" s="31" t="str">
        <f>IF(COUNTA($W$8:$W$244)=COUNTIF($W$8:$W$244,"OK"),"OK","Check")</f>
        <v>OK</v>
      </c>
      <c r="U1" s="113" t="s">
        <v>44</v>
      </c>
      <c r="V1" s="31" t="str">
        <f>'Check|List'!$S$1</f>
        <v>Ok</v>
      </c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</row>
    <row r="2" spans="1:47" s="33" customFormat="1" ht="12.9" thickBot="1">
      <c r="B2" s="32" t="str">
        <f>Index!$C$12</f>
        <v>Input | Step changes</v>
      </c>
      <c r="C2" s="32"/>
      <c r="D2" s="32"/>
      <c r="E2" s="32"/>
      <c r="F2" s="55"/>
      <c r="G2" s="55"/>
      <c r="H2" s="55"/>
      <c r="I2" s="55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</row>
    <row r="3" spans="1:47" s="56" customFormat="1" ht="10.5">
      <c r="D3" s="110"/>
      <c r="E3" s="110"/>
      <c r="F3" s="110"/>
      <c r="G3" s="110"/>
      <c r="H3" s="110"/>
      <c r="I3" s="110"/>
      <c r="J3" s="99" t="s">
        <v>55</v>
      </c>
      <c r="K3" s="104"/>
      <c r="L3" s="104"/>
      <c r="M3" s="110"/>
      <c r="N3" s="210"/>
      <c r="O3" s="210"/>
      <c r="P3" s="210"/>
      <c r="Q3" s="210"/>
      <c r="R3" s="210"/>
      <c r="S3" s="210"/>
      <c r="T3" s="57"/>
      <c r="U3" s="57"/>
      <c r="V3" s="57"/>
      <c r="W3" s="57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</row>
    <row r="4" spans="1:47">
      <c r="A4" s="58"/>
      <c r="B4" s="58"/>
      <c r="C4" s="58"/>
      <c r="D4" s="59" t="s">
        <v>47</v>
      </c>
      <c r="E4" s="59" t="s">
        <v>70</v>
      </c>
      <c r="F4" s="151" t="s">
        <v>75</v>
      </c>
      <c r="G4" s="152"/>
      <c r="H4" s="152"/>
      <c r="I4" s="152"/>
      <c r="J4" s="97">
        <f>DATE(PPFirstYear,MONTH('Input|General'!$G$9),1)</f>
        <v>43983</v>
      </c>
      <c r="K4" s="97">
        <f>DATE(PPFirstYear+1,MONTH('Input|General'!$G$9),1)</f>
        <v>44348</v>
      </c>
      <c r="L4" s="97">
        <f>DATE(PPFirstYear+2,MONTH('Input|General'!$G$9),1)</f>
        <v>44713</v>
      </c>
      <c r="M4" s="97">
        <f>DATE(PPFirstYear+3,MONTH('Input|General'!$G$9),1)</f>
        <v>45078</v>
      </c>
      <c r="N4" s="97">
        <f>DATE(PPFirstYear+4,MONTH('Input|General'!$G$9),1)</f>
        <v>45444</v>
      </c>
      <c r="O4" s="97">
        <f>DATE(PPFirstYear+5,MONTH('Input|General'!$G$9),1)</f>
        <v>45809</v>
      </c>
      <c r="P4" s="97">
        <f>DATE(PPFirstYear+6,MONTH('Input|General'!$G$9),1)</f>
        <v>46174</v>
      </c>
      <c r="Q4" s="97">
        <f>DATE(PPFirstYear+7,MONTH('Input|General'!$G$9),1)</f>
        <v>46539</v>
      </c>
      <c r="R4" s="97">
        <f>DATE(PPFirstYear+8,MONTH('Input|General'!$G$9),1)</f>
        <v>46905</v>
      </c>
      <c r="S4" s="97">
        <f>DATE(PPFirstYear+9,MONTH('Input|General'!$G$9),1)</f>
        <v>47270</v>
      </c>
      <c r="T4" s="97">
        <f>DATE(PPFirstYear+10,MONTH('Input|General'!$G$9),1)</f>
        <v>47635</v>
      </c>
      <c r="U4" s="62"/>
      <c r="V4" s="188"/>
      <c r="W4" s="63"/>
    </row>
    <row r="5" spans="1:47" s="6" customFormat="1" ht="3" customHeight="1">
      <c r="A5" s="153"/>
      <c r="B5" s="153"/>
      <c r="C5" s="153"/>
      <c r="D5" s="154"/>
      <c r="E5" s="154"/>
      <c r="F5" s="154"/>
      <c r="G5" s="154"/>
      <c r="H5" s="154"/>
      <c r="I5" s="154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</row>
    <row r="6" spans="1:47" s="6" customFormat="1" ht="9" customHeight="1">
      <c r="A6" s="153"/>
      <c r="B6" s="153"/>
      <c r="C6" s="153"/>
      <c r="D6" s="154"/>
      <c r="E6" s="154"/>
      <c r="F6" s="154"/>
      <c r="G6" s="154"/>
      <c r="H6" s="154"/>
      <c r="I6" s="154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</row>
    <row r="7" spans="1:47" s="6" customFormat="1" ht="3" customHeight="1">
      <c r="A7" s="153"/>
      <c r="B7" s="153"/>
      <c r="C7" s="153"/>
      <c r="D7" s="154"/>
      <c r="E7" s="154"/>
      <c r="F7" s="154"/>
      <c r="G7" s="154"/>
      <c r="H7" s="154"/>
      <c r="I7" s="154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</row>
    <row r="8" spans="1:47" ht="12.3">
      <c r="A8" s="34"/>
      <c r="B8" s="40" t="s">
        <v>156</v>
      </c>
      <c r="C8" s="34"/>
      <c r="D8" s="34"/>
      <c r="E8" s="34"/>
      <c r="F8" s="125"/>
      <c r="G8" s="125"/>
      <c r="H8" s="125"/>
      <c r="I8" s="125"/>
      <c r="J8" s="36"/>
      <c r="K8" s="126"/>
      <c r="L8" s="36"/>
      <c r="M8" s="126"/>
      <c r="N8" s="36"/>
      <c r="O8" s="36"/>
      <c r="P8" s="36"/>
      <c r="Q8" s="36"/>
      <c r="R8" s="36"/>
      <c r="S8" s="36"/>
      <c r="T8" s="36"/>
      <c r="U8" s="36"/>
      <c r="V8" s="126"/>
      <c r="W8" s="37"/>
    </row>
    <row r="9" spans="1:47" s="8" customFormat="1">
      <c r="A9" s="17"/>
      <c r="B9" s="17"/>
      <c r="C9" s="17"/>
      <c r="D9" s="127"/>
      <c r="E9" s="127"/>
      <c r="F9" s="127"/>
      <c r="G9" s="128"/>
      <c r="H9" s="128"/>
      <c r="I9" s="12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</row>
    <row r="10" spans="1:47" s="8" customFormat="1" ht="10.5">
      <c r="A10" s="17"/>
      <c r="B10" s="17"/>
      <c r="C10" s="129" t="s">
        <v>157</v>
      </c>
      <c r="D10" s="128" t="s">
        <v>47</v>
      </c>
      <c r="E10" s="128" t="s">
        <v>70</v>
      </c>
      <c r="F10" s="128" t="s">
        <v>75</v>
      </c>
      <c r="G10" s="128" t="s">
        <v>158</v>
      </c>
      <c r="H10" s="128" t="s">
        <v>159</v>
      </c>
      <c r="I10" s="128" t="s">
        <v>160</v>
      </c>
      <c r="J10" s="145" t="str">
        <f t="shared" ref="J10:T10" si="0">IF(YEAR(J$4)&gt;=FPFirstYear,IF(YEAR(J$4)&lt;=FPLastYear,J$4,""),"")</f>
        <v/>
      </c>
      <c r="K10" s="145" t="str">
        <f t="shared" si="0"/>
        <v/>
      </c>
      <c r="L10" s="145" t="str">
        <f t="shared" si="0"/>
        <v/>
      </c>
      <c r="M10" s="145" t="str">
        <f t="shared" si="0"/>
        <v/>
      </c>
      <c r="N10" s="145" t="str">
        <f t="shared" si="0"/>
        <v/>
      </c>
      <c r="O10" s="145">
        <f t="shared" si="0"/>
        <v>45809</v>
      </c>
      <c r="P10" s="145">
        <f t="shared" si="0"/>
        <v>46174</v>
      </c>
      <c r="Q10" s="145">
        <f t="shared" si="0"/>
        <v>46539</v>
      </c>
      <c r="R10" s="145" t="str">
        <f t="shared" si="0"/>
        <v/>
      </c>
      <c r="S10" s="145" t="str">
        <f t="shared" si="0"/>
        <v/>
      </c>
      <c r="T10" s="145" t="str">
        <f t="shared" si="0"/>
        <v/>
      </c>
      <c r="U10" s="17"/>
      <c r="V10" s="17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</row>
    <row r="11" spans="1:47" s="8" customFormat="1">
      <c r="A11" s="17"/>
      <c r="B11" s="17"/>
      <c r="C11" s="17"/>
      <c r="D11" s="127"/>
      <c r="E11" s="127"/>
      <c r="F11" s="127"/>
      <c r="H11" s="128"/>
      <c r="I11" s="128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</row>
    <row r="12" spans="1:47" s="8" customFormat="1">
      <c r="A12" s="17"/>
      <c r="B12" s="17"/>
      <c r="C12" s="168" t="s">
        <v>255</v>
      </c>
      <c r="D12" s="127" t="s">
        <v>53</v>
      </c>
      <c r="E12" s="127" t="str">
        <f t="shared" ref="E12:E27" si="1">units</f>
        <v>$millions</v>
      </c>
      <c r="F12" s="146">
        <f>DATE(PPLastYear,MONTH(month),1)</f>
        <v>45444</v>
      </c>
      <c r="G12" s="168" t="s">
        <v>76</v>
      </c>
      <c r="H12" s="168" t="s">
        <v>78</v>
      </c>
      <c r="I12" s="168" t="s">
        <v>84</v>
      </c>
      <c r="J12" s="193"/>
      <c r="K12" s="165"/>
      <c r="L12" s="165"/>
      <c r="M12" s="165"/>
      <c r="N12" s="165"/>
      <c r="O12" s="189">
        <v>0.28823700025922327</v>
      </c>
      <c r="P12" s="189">
        <v>0.3175050042421379</v>
      </c>
      <c r="Q12" s="189">
        <v>0.3175050042421379</v>
      </c>
      <c r="R12" s="189"/>
      <c r="S12" s="189"/>
      <c r="T12" s="189"/>
      <c r="U12" s="17"/>
      <c r="V12" s="196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</row>
    <row r="13" spans="1:47" s="8" customFormat="1">
      <c r="A13" s="17"/>
      <c r="B13" s="17"/>
      <c r="C13" s="168" t="s">
        <v>256</v>
      </c>
      <c r="D13" s="127" t="s">
        <v>53</v>
      </c>
      <c r="E13" s="127" t="str">
        <f t="shared" si="1"/>
        <v>$millions</v>
      </c>
      <c r="F13" s="146">
        <f>F12</f>
        <v>45444</v>
      </c>
      <c r="G13" s="168" t="s">
        <v>76</v>
      </c>
      <c r="H13" s="168" t="s">
        <v>78</v>
      </c>
      <c r="I13" s="168" t="s">
        <v>86</v>
      </c>
      <c r="J13" s="193"/>
      <c r="K13" s="165"/>
      <c r="L13" s="165"/>
      <c r="M13" s="165"/>
      <c r="N13" s="165"/>
      <c r="O13" s="189">
        <v>0</v>
      </c>
      <c r="P13" s="189">
        <v>0</v>
      </c>
      <c r="Q13" s="189">
        <v>0</v>
      </c>
      <c r="R13" s="189"/>
      <c r="S13" s="189"/>
      <c r="T13" s="189"/>
      <c r="U13" s="17"/>
      <c r="V13" s="196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</row>
    <row r="14" spans="1:47" s="8" customFormat="1">
      <c r="A14" s="17"/>
      <c r="B14" s="17"/>
      <c r="C14" s="168" t="s">
        <v>257</v>
      </c>
      <c r="D14" s="127" t="s">
        <v>53</v>
      </c>
      <c r="E14" s="127" t="str">
        <f t="shared" si="1"/>
        <v>$millions</v>
      </c>
      <c r="F14" s="146">
        <f t="shared" ref="F14:F27" si="2">F13</f>
        <v>45444</v>
      </c>
      <c r="G14" s="168" t="s">
        <v>76</v>
      </c>
      <c r="H14" s="168" t="s">
        <v>78</v>
      </c>
      <c r="I14" s="168" t="s">
        <v>87</v>
      </c>
      <c r="J14" s="193"/>
      <c r="K14" s="165"/>
      <c r="L14" s="165"/>
      <c r="M14" s="165"/>
      <c r="N14" s="165"/>
      <c r="O14" s="189">
        <v>0.87740130461372134</v>
      </c>
      <c r="P14" s="189">
        <v>1.0352836044308513</v>
      </c>
      <c r="Q14" s="189">
        <v>1.0449646554086272</v>
      </c>
      <c r="R14" s="189"/>
      <c r="S14" s="189"/>
      <c r="T14" s="189"/>
      <c r="U14" s="17"/>
      <c r="V14" s="196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</row>
    <row r="15" spans="1:47" s="8" customFormat="1">
      <c r="A15" s="17"/>
      <c r="B15" s="17"/>
      <c r="C15" s="168"/>
      <c r="D15" s="127" t="s">
        <v>53</v>
      </c>
      <c r="E15" s="127" t="str">
        <f t="shared" si="1"/>
        <v>$millions</v>
      </c>
      <c r="F15" s="146">
        <f t="shared" si="2"/>
        <v>45444</v>
      </c>
      <c r="G15" s="168"/>
      <c r="H15" s="168"/>
      <c r="I15" s="168"/>
      <c r="J15" s="193"/>
      <c r="K15" s="165"/>
      <c r="L15" s="165"/>
      <c r="M15" s="165"/>
      <c r="N15" s="165"/>
      <c r="O15" s="189"/>
      <c r="P15" s="189"/>
      <c r="Q15" s="189"/>
      <c r="R15" s="189"/>
      <c r="S15" s="189"/>
      <c r="T15" s="189"/>
      <c r="U15" s="17"/>
      <c r="V15" s="196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</row>
    <row r="16" spans="1:47" s="8" customFormat="1">
      <c r="A16" s="17"/>
      <c r="B16" s="17"/>
      <c r="C16" s="168" t="s">
        <v>258</v>
      </c>
      <c r="D16" s="127" t="s">
        <v>53</v>
      </c>
      <c r="E16" s="127" t="str">
        <f t="shared" si="1"/>
        <v>$millions</v>
      </c>
      <c r="F16" s="146">
        <f t="shared" si="2"/>
        <v>45444</v>
      </c>
      <c r="G16" s="168" t="s">
        <v>77</v>
      </c>
      <c r="H16" s="168" t="s">
        <v>78</v>
      </c>
      <c r="I16" s="168" t="s">
        <v>84</v>
      </c>
      <c r="J16" s="193"/>
      <c r="K16" s="165"/>
      <c r="L16" s="165"/>
      <c r="M16" s="165"/>
      <c r="N16" s="165"/>
      <c r="O16" s="189">
        <v>0.33560307739110395</v>
      </c>
      <c r="P16" s="189">
        <v>0.40535620716337384</v>
      </c>
      <c r="Q16" s="189">
        <v>0.40535620716337384</v>
      </c>
      <c r="R16" s="189"/>
      <c r="S16" s="189"/>
      <c r="T16" s="189"/>
      <c r="U16" s="17"/>
      <c r="V16" s="19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</row>
    <row r="17" spans="1:47" s="8" customFormat="1" outlineLevel="1">
      <c r="A17" s="17"/>
      <c r="B17" s="17"/>
      <c r="C17" s="168" t="s">
        <v>259</v>
      </c>
      <c r="D17" s="127" t="s">
        <v>53</v>
      </c>
      <c r="E17" s="127" t="str">
        <f t="shared" si="1"/>
        <v>$millions</v>
      </c>
      <c r="F17" s="146">
        <f t="shared" si="2"/>
        <v>45444</v>
      </c>
      <c r="G17" s="168" t="s">
        <v>77</v>
      </c>
      <c r="H17" s="168" t="s">
        <v>78</v>
      </c>
      <c r="I17" s="168" t="s">
        <v>86</v>
      </c>
      <c r="J17" s="193"/>
      <c r="K17" s="165"/>
      <c r="L17" s="165"/>
      <c r="M17" s="165"/>
      <c r="N17" s="165"/>
      <c r="O17" s="189">
        <v>0</v>
      </c>
      <c r="P17" s="189">
        <v>0</v>
      </c>
      <c r="Q17" s="189">
        <v>0</v>
      </c>
      <c r="R17" s="189"/>
      <c r="S17" s="189"/>
      <c r="T17" s="189"/>
      <c r="U17" s="17"/>
      <c r="V17" s="196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</row>
    <row r="18" spans="1:47" s="8" customFormat="1" outlineLevel="1">
      <c r="A18" s="17"/>
      <c r="B18" s="17"/>
      <c r="C18" s="168" t="s">
        <v>260</v>
      </c>
      <c r="D18" s="127" t="s">
        <v>53</v>
      </c>
      <c r="E18" s="127" t="str">
        <f t="shared" si="1"/>
        <v>$millions</v>
      </c>
      <c r="F18" s="146">
        <f t="shared" si="2"/>
        <v>45444</v>
      </c>
      <c r="G18" s="168" t="s">
        <v>77</v>
      </c>
      <c r="H18" s="168" t="s">
        <v>78</v>
      </c>
      <c r="I18" s="168" t="s">
        <v>87</v>
      </c>
      <c r="J18" s="165"/>
      <c r="K18" s="165"/>
      <c r="L18" s="165"/>
      <c r="M18" s="165"/>
      <c r="N18" s="165"/>
      <c r="O18" s="189">
        <v>0</v>
      </c>
      <c r="P18" s="189">
        <v>0</v>
      </c>
      <c r="Q18" s="189">
        <v>0</v>
      </c>
      <c r="R18" s="189"/>
      <c r="S18" s="189"/>
      <c r="T18" s="189"/>
      <c r="U18" s="17"/>
      <c r="V18" s="17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</row>
    <row r="19" spans="1:47" s="8" customFormat="1" outlineLevel="1">
      <c r="A19" s="17"/>
      <c r="B19" s="17"/>
      <c r="C19" s="168"/>
      <c r="D19" s="127" t="s">
        <v>53</v>
      </c>
      <c r="E19" s="127" t="str">
        <f t="shared" si="1"/>
        <v>$millions</v>
      </c>
      <c r="F19" s="146">
        <f t="shared" si="2"/>
        <v>45444</v>
      </c>
      <c r="G19" s="168"/>
      <c r="H19" s="168"/>
      <c r="I19" s="168"/>
      <c r="J19" s="165"/>
      <c r="K19" s="165"/>
      <c r="L19" s="165"/>
      <c r="M19" s="165"/>
      <c r="N19" s="165"/>
      <c r="O19" s="189"/>
      <c r="P19" s="189"/>
      <c r="Q19" s="189"/>
      <c r="R19" s="189"/>
      <c r="S19" s="189"/>
      <c r="T19" s="189"/>
      <c r="U19" s="17"/>
      <c r="V19" s="17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</row>
    <row r="20" spans="1:47" s="8" customFormat="1" outlineLevel="1">
      <c r="A20" s="17"/>
      <c r="B20" s="17"/>
      <c r="C20" s="168" t="s">
        <v>261</v>
      </c>
      <c r="D20" s="127" t="s">
        <v>53</v>
      </c>
      <c r="E20" s="127" t="str">
        <f t="shared" si="1"/>
        <v>$millions</v>
      </c>
      <c r="F20" s="146">
        <f t="shared" si="2"/>
        <v>45444</v>
      </c>
      <c r="G20" s="168" t="s">
        <v>79</v>
      </c>
      <c r="H20" s="168" t="s">
        <v>82</v>
      </c>
      <c r="I20" s="168" t="s">
        <v>84</v>
      </c>
      <c r="J20" s="165"/>
      <c r="K20" s="165"/>
      <c r="L20" s="165"/>
      <c r="M20" s="165"/>
      <c r="N20" s="165"/>
      <c r="O20" s="189">
        <v>0.20172269069917392</v>
      </c>
      <c r="P20" s="189">
        <v>0.20172269069917392</v>
      </c>
      <c r="Q20" s="189">
        <v>0.20172269069917392</v>
      </c>
      <c r="R20" s="189"/>
      <c r="S20" s="189"/>
      <c r="T20" s="189"/>
      <c r="U20" s="17"/>
      <c r="V20" s="17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</row>
    <row r="21" spans="1:47" s="8" customFormat="1" outlineLevel="1">
      <c r="A21" s="17"/>
      <c r="B21" s="17"/>
      <c r="C21" s="168"/>
      <c r="D21" s="127" t="s">
        <v>53</v>
      </c>
      <c r="E21" s="127" t="str">
        <f t="shared" si="1"/>
        <v>$millions</v>
      </c>
      <c r="F21" s="146">
        <f t="shared" si="2"/>
        <v>45444</v>
      </c>
      <c r="G21" s="168"/>
      <c r="H21" s="168"/>
      <c r="I21" s="168"/>
      <c r="J21" s="165"/>
      <c r="K21" s="165"/>
      <c r="L21" s="165"/>
      <c r="M21" s="165"/>
      <c r="N21" s="165"/>
      <c r="O21" s="189"/>
      <c r="P21" s="189"/>
      <c r="Q21" s="189"/>
      <c r="R21" s="189"/>
      <c r="S21" s="189"/>
      <c r="T21" s="189"/>
      <c r="U21" s="17"/>
      <c r="V21" s="17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</row>
    <row r="22" spans="1:47" s="8" customFormat="1" outlineLevel="1">
      <c r="A22" s="17"/>
      <c r="B22" s="17"/>
      <c r="C22" s="168" t="s">
        <v>262</v>
      </c>
      <c r="D22" s="127" t="s">
        <v>53</v>
      </c>
      <c r="E22" s="127" t="str">
        <f t="shared" si="1"/>
        <v>$millions</v>
      </c>
      <c r="F22" s="146">
        <f t="shared" si="2"/>
        <v>45444</v>
      </c>
      <c r="G22" s="168" t="s">
        <v>80</v>
      </c>
      <c r="H22" s="168" t="s">
        <v>82</v>
      </c>
      <c r="I22" s="168" t="s">
        <v>84</v>
      </c>
      <c r="J22" s="165"/>
      <c r="K22" s="165"/>
      <c r="L22" s="165"/>
      <c r="M22" s="165"/>
      <c r="N22" s="165"/>
      <c r="O22" s="189">
        <v>1.1705439509219502</v>
      </c>
      <c r="P22" s="189">
        <v>1.2824157187124283</v>
      </c>
      <c r="Q22" s="189">
        <v>1.2824157187124283</v>
      </c>
      <c r="R22" s="189"/>
      <c r="S22" s="189"/>
      <c r="T22" s="189"/>
      <c r="U22" s="17"/>
      <c r="V22" s="17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</row>
    <row r="23" spans="1:47" s="8" customFormat="1" outlineLevel="1">
      <c r="A23" s="17"/>
      <c r="B23" s="17"/>
      <c r="C23" s="168" t="s">
        <v>263</v>
      </c>
      <c r="D23" s="127" t="s">
        <v>53</v>
      </c>
      <c r="E23" s="127" t="str">
        <f t="shared" si="1"/>
        <v>$millions</v>
      </c>
      <c r="F23" s="146">
        <f t="shared" si="2"/>
        <v>45444</v>
      </c>
      <c r="G23" s="168" t="s">
        <v>80</v>
      </c>
      <c r="H23" s="168" t="s">
        <v>82</v>
      </c>
      <c r="I23" s="168" t="s">
        <v>86</v>
      </c>
      <c r="J23" s="165"/>
      <c r="K23" s="165"/>
      <c r="L23" s="165"/>
      <c r="M23" s="165"/>
      <c r="N23" s="165"/>
      <c r="O23" s="189">
        <v>0.38049407274628883</v>
      </c>
      <c r="P23" s="189">
        <v>0.86942356860776104</v>
      </c>
      <c r="Q23" s="189">
        <v>0.86942356860776104</v>
      </c>
      <c r="R23" s="189"/>
      <c r="S23" s="189"/>
      <c r="T23" s="189"/>
      <c r="U23" s="17"/>
      <c r="V23" s="17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</row>
    <row r="24" spans="1:47" s="8" customFormat="1" outlineLevel="1">
      <c r="A24" s="17"/>
      <c r="B24" s="17"/>
      <c r="C24" s="168" t="s">
        <v>264</v>
      </c>
      <c r="D24" s="127" t="s">
        <v>53</v>
      </c>
      <c r="E24" s="127" t="str">
        <f t="shared" si="1"/>
        <v>$millions</v>
      </c>
      <c r="F24" s="146">
        <f t="shared" si="2"/>
        <v>45444</v>
      </c>
      <c r="G24" s="168" t="s">
        <v>80</v>
      </c>
      <c r="H24" s="168" t="s">
        <v>82</v>
      </c>
      <c r="I24" s="168" t="s">
        <v>87</v>
      </c>
      <c r="J24" s="165"/>
      <c r="K24" s="165"/>
      <c r="L24" s="165"/>
      <c r="M24" s="165"/>
      <c r="N24" s="165"/>
      <c r="O24" s="189">
        <v>0.84529330232303079</v>
      </c>
      <c r="P24" s="189">
        <v>0.76169368681439309</v>
      </c>
      <c r="Q24" s="189">
        <v>0.74195761427468643</v>
      </c>
      <c r="R24" s="189"/>
      <c r="S24" s="189"/>
      <c r="T24" s="189"/>
      <c r="U24" s="17"/>
      <c r="V24" s="17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</row>
    <row r="25" spans="1:47" s="8" customFormat="1" outlineLevel="1">
      <c r="A25" s="17"/>
      <c r="B25" s="17"/>
      <c r="C25" s="168"/>
      <c r="D25" s="127" t="s">
        <v>53</v>
      </c>
      <c r="E25" s="127" t="str">
        <f t="shared" si="1"/>
        <v>$millions</v>
      </c>
      <c r="F25" s="146">
        <f t="shared" si="2"/>
        <v>45444</v>
      </c>
      <c r="G25" s="168"/>
      <c r="H25" s="168"/>
      <c r="I25" s="168"/>
      <c r="J25" s="165"/>
      <c r="K25" s="165"/>
      <c r="L25" s="165"/>
      <c r="M25" s="165"/>
      <c r="N25" s="165"/>
      <c r="O25" s="189"/>
      <c r="P25" s="189"/>
      <c r="Q25" s="189"/>
      <c r="R25" s="189"/>
      <c r="S25" s="189"/>
      <c r="T25" s="189"/>
      <c r="U25" s="17"/>
      <c r="V25" s="17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</row>
    <row r="26" spans="1:47" s="8" customFormat="1" outlineLevel="1">
      <c r="A26" s="17"/>
      <c r="B26" s="17"/>
      <c r="C26" s="168" t="s">
        <v>265</v>
      </c>
      <c r="D26" s="127" t="s">
        <v>53</v>
      </c>
      <c r="E26" s="127" t="str">
        <f t="shared" si="1"/>
        <v>$millions</v>
      </c>
      <c r="F26" s="146">
        <f t="shared" si="2"/>
        <v>45444</v>
      </c>
      <c r="G26" s="168" t="s">
        <v>81</v>
      </c>
      <c r="H26" s="168" t="s">
        <v>82</v>
      </c>
      <c r="I26" s="168" t="s">
        <v>84</v>
      </c>
      <c r="J26" s="165"/>
      <c r="K26" s="165"/>
      <c r="L26" s="165"/>
      <c r="M26" s="165"/>
      <c r="N26" s="165"/>
      <c r="O26" s="189">
        <v>0.16850164750667465</v>
      </c>
      <c r="P26" s="189">
        <v>0.26904040294668602</v>
      </c>
      <c r="Q26" s="189">
        <v>0.26904040294668602</v>
      </c>
      <c r="R26" s="189"/>
      <c r="S26" s="189"/>
      <c r="T26" s="189"/>
      <c r="U26" s="17"/>
      <c r="V26" s="17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</row>
    <row r="27" spans="1:47" s="8" customFormat="1" outlineLevel="1">
      <c r="A27" s="17"/>
      <c r="B27" s="17"/>
      <c r="C27" s="168"/>
      <c r="D27" s="127" t="s">
        <v>53</v>
      </c>
      <c r="E27" s="127" t="str">
        <f t="shared" si="1"/>
        <v>$millions</v>
      </c>
      <c r="F27" s="146">
        <f t="shared" si="2"/>
        <v>45444</v>
      </c>
      <c r="G27" s="168"/>
      <c r="H27" s="168"/>
      <c r="I27" s="168"/>
      <c r="J27" s="165"/>
      <c r="K27" s="165"/>
      <c r="L27" s="165"/>
      <c r="M27" s="165"/>
      <c r="N27" s="165"/>
      <c r="O27" s="189"/>
      <c r="P27" s="189"/>
      <c r="Q27" s="189"/>
      <c r="R27" s="189"/>
      <c r="S27" s="189"/>
      <c r="T27" s="189"/>
      <c r="U27" s="17"/>
      <c r="V27" s="1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</row>
    <row r="28" spans="1:47" s="8" customFormat="1">
      <c r="A28" s="17"/>
      <c r="B28" s="17"/>
      <c r="C28" s="17"/>
      <c r="D28" s="127"/>
      <c r="E28" s="127"/>
      <c r="F28" s="127"/>
      <c r="G28" s="128"/>
      <c r="H28" s="128"/>
      <c r="I28" s="12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</row>
    <row r="29" spans="1:47" s="8" customFormat="1" ht="10.5">
      <c r="A29" s="17"/>
      <c r="B29" s="17"/>
      <c r="C29" s="17" t="s">
        <v>138</v>
      </c>
      <c r="D29" s="127" t="s">
        <v>126</v>
      </c>
      <c r="E29" s="127" t="s">
        <v>139</v>
      </c>
      <c r="F29" s="127" t="s">
        <v>140</v>
      </c>
      <c r="G29" s="127"/>
      <c r="H29" s="127"/>
      <c r="I29" s="127"/>
      <c r="J29" s="172" t="str">
        <f t="shared" ref="J29:S29" si="3">IF(J10=J4,IF(COUNTA($C12:$C27)=COUNT(J12:J27),"Ok","Check"),"")</f>
        <v/>
      </c>
      <c r="K29" s="172" t="str">
        <f t="shared" si="3"/>
        <v/>
      </c>
      <c r="L29" s="172" t="str">
        <f t="shared" si="3"/>
        <v/>
      </c>
      <c r="M29" s="172" t="str">
        <f t="shared" si="3"/>
        <v/>
      </c>
      <c r="N29" s="172" t="str">
        <f t="shared" si="3"/>
        <v/>
      </c>
      <c r="O29" s="172" t="str">
        <f t="shared" si="3"/>
        <v>Ok</v>
      </c>
      <c r="P29" s="172" t="str">
        <f t="shared" si="3"/>
        <v>Ok</v>
      </c>
      <c r="Q29" s="172" t="str">
        <f t="shared" si="3"/>
        <v>Ok</v>
      </c>
      <c r="R29" s="172" t="str">
        <f t="shared" si="3"/>
        <v/>
      </c>
      <c r="S29" s="172" t="str">
        <f t="shared" si="3"/>
        <v/>
      </c>
      <c r="T29" s="172" t="str">
        <f t="shared" ref="T29" si="4">IF(T10=T4,IF(COUNTA($C12:$C27)=COUNT(T12:T27),"Ok","Check"),"")</f>
        <v/>
      </c>
      <c r="U29" s="173"/>
      <c r="V29" s="17"/>
      <c r="W29" s="84" t="str">
        <f>IF(COUNTIF(J29:T29,"Check")=0,"Ok","Check")</f>
        <v>Ok</v>
      </c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</row>
    <row r="30" spans="1:47" s="8" customFormat="1">
      <c r="A30" s="17"/>
      <c r="B30" s="17"/>
      <c r="C30" s="17"/>
      <c r="D30" s="127"/>
      <c r="E30" s="127"/>
      <c r="F30" s="127"/>
      <c r="G30" s="128"/>
      <c r="H30" s="128"/>
      <c r="I30" s="12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</row>
    <row r="31" spans="1:47" ht="12.3">
      <c r="A31" s="34"/>
      <c r="B31" s="40" t="s">
        <v>161</v>
      </c>
      <c r="C31" s="34"/>
      <c r="D31" s="34"/>
      <c r="E31" s="34"/>
      <c r="F31" s="125"/>
      <c r="G31" s="125"/>
      <c r="H31" s="125"/>
      <c r="I31" s="125"/>
      <c r="J31" s="36"/>
      <c r="K31" s="126"/>
      <c r="L31" s="36"/>
      <c r="M31" s="126"/>
      <c r="N31" s="36"/>
      <c r="O31" s="36"/>
      <c r="P31" s="36"/>
      <c r="Q31" s="36"/>
      <c r="R31" s="36"/>
      <c r="S31" s="36"/>
      <c r="T31" s="36"/>
      <c r="U31" s="36"/>
      <c r="V31" s="126"/>
      <c r="W31" s="37"/>
    </row>
    <row r="32" spans="1:47" s="8" customFormat="1">
      <c r="A32" s="17"/>
      <c r="B32" s="17"/>
      <c r="C32" s="17"/>
      <c r="D32" s="127"/>
      <c r="E32" s="127"/>
      <c r="F32" s="127"/>
      <c r="G32" s="128"/>
      <c r="H32" s="128"/>
      <c r="I32" s="12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</row>
    <row r="33" spans="1:47" s="8" customFormat="1" ht="10.5">
      <c r="A33" s="17"/>
      <c r="B33" s="17"/>
      <c r="C33" s="129" t="s">
        <v>162</v>
      </c>
      <c r="D33" s="128" t="s">
        <v>47</v>
      </c>
      <c r="E33" s="128" t="s">
        <v>70</v>
      </c>
      <c r="F33" s="128" t="s">
        <v>75</v>
      </c>
      <c r="G33" s="128" t="str">
        <f>G10</f>
        <v>Sub Service</v>
      </c>
      <c r="H33" s="128" t="str">
        <f>H10</f>
        <v>Service Allocation</v>
      </c>
      <c r="I33" s="128" t="s">
        <v>160</v>
      </c>
      <c r="J33" s="145" t="str">
        <f t="shared" ref="J33:T33" si="5">IF(YEAR(J$4)&gt;=FPFirstYear,IF(YEAR(J$4)&lt;=FPLastYear,J$4,""),"")</f>
        <v/>
      </c>
      <c r="K33" s="145" t="str">
        <f t="shared" si="5"/>
        <v/>
      </c>
      <c r="L33" s="145" t="str">
        <f t="shared" si="5"/>
        <v/>
      </c>
      <c r="M33" s="145" t="str">
        <f t="shared" si="5"/>
        <v/>
      </c>
      <c r="N33" s="145" t="str">
        <f t="shared" si="5"/>
        <v/>
      </c>
      <c r="O33" s="145">
        <f t="shared" si="5"/>
        <v>45809</v>
      </c>
      <c r="P33" s="145">
        <f t="shared" si="5"/>
        <v>46174</v>
      </c>
      <c r="Q33" s="145">
        <f t="shared" si="5"/>
        <v>46539</v>
      </c>
      <c r="R33" s="145" t="str">
        <f t="shared" si="5"/>
        <v/>
      </c>
      <c r="S33" s="145" t="str">
        <f t="shared" si="5"/>
        <v/>
      </c>
      <c r="T33" s="145" t="str">
        <f t="shared" si="5"/>
        <v/>
      </c>
      <c r="U33" s="17"/>
      <c r="V33" s="17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</row>
    <row r="34" spans="1:47" s="8" customFormat="1">
      <c r="A34" s="17"/>
      <c r="B34" s="17"/>
      <c r="C34" s="17"/>
      <c r="D34" s="127"/>
      <c r="E34" s="127"/>
      <c r="F34" s="127"/>
      <c r="H34" s="128"/>
      <c r="I34" s="128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</row>
    <row r="35" spans="1:47" s="8" customFormat="1">
      <c r="A35" s="17"/>
      <c r="B35" s="17"/>
      <c r="C35" s="190" t="s">
        <v>266</v>
      </c>
      <c r="D35" s="127" t="s">
        <v>53</v>
      </c>
      <c r="E35" s="127" t="str">
        <f>units</f>
        <v>$millions</v>
      </c>
      <c r="F35" s="146">
        <f>DATE(PPLastYear,MONTH(month),1)</f>
        <v>45444</v>
      </c>
      <c r="G35" s="168" t="s">
        <v>76</v>
      </c>
      <c r="H35" s="168" t="s">
        <v>78</v>
      </c>
      <c r="I35" s="168" t="s">
        <v>88</v>
      </c>
      <c r="J35" s="165"/>
      <c r="K35" s="165"/>
      <c r="L35" s="165"/>
      <c r="M35" s="165"/>
      <c r="N35" s="189"/>
      <c r="O35" s="189">
        <v>0.55959347121229752</v>
      </c>
      <c r="P35" s="189">
        <v>0.50133599405108775</v>
      </c>
      <c r="Q35" s="189">
        <v>0.43726790158354978</v>
      </c>
      <c r="R35" s="189"/>
      <c r="S35" s="189"/>
      <c r="T35" s="189"/>
      <c r="U35" s="17"/>
      <c r="V35" s="17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</row>
    <row r="36" spans="1:47" s="8" customFormat="1">
      <c r="A36" s="17"/>
      <c r="B36" s="17"/>
      <c r="C36" s="190" t="s">
        <v>267</v>
      </c>
      <c r="D36" s="127" t="s">
        <v>53</v>
      </c>
      <c r="E36" s="127" t="str">
        <f>units</f>
        <v>$millions</v>
      </c>
      <c r="F36" s="146">
        <f>DATE(PPLastYear,MONTH(month),1)</f>
        <v>45444</v>
      </c>
      <c r="G36" s="168" t="s">
        <v>77</v>
      </c>
      <c r="H36" s="168" t="s">
        <v>78</v>
      </c>
      <c r="I36" s="168" t="s">
        <v>88</v>
      </c>
      <c r="J36" s="165"/>
      <c r="K36" s="165"/>
      <c r="L36" s="165"/>
      <c r="M36" s="165"/>
      <c r="N36" s="189"/>
      <c r="O36" s="189">
        <v>0.43231663618592298</v>
      </c>
      <c r="P36" s="189">
        <v>0.38730954111662125</v>
      </c>
      <c r="Q36" s="189">
        <v>0.33781342715658774</v>
      </c>
      <c r="R36" s="189"/>
      <c r="S36" s="189"/>
      <c r="T36" s="189"/>
      <c r="U36" s="17"/>
      <c r="V36" s="17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</row>
    <row r="37" spans="1:47" s="8" customFormat="1">
      <c r="A37" s="17"/>
      <c r="B37" s="17"/>
      <c r="C37" s="190" t="s">
        <v>268</v>
      </c>
      <c r="D37" s="127" t="s">
        <v>53</v>
      </c>
      <c r="E37" s="127" t="str">
        <f>units</f>
        <v>$millions</v>
      </c>
      <c r="F37" s="146">
        <f>DATE(PPLastYear,MONTH(month),1)</f>
        <v>45444</v>
      </c>
      <c r="G37" s="168" t="s">
        <v>79</v>
      </c>
      <c r="H37" s="168" t="s">
        <v>82</v>
      </c>
      <c r="I37" s="168" t="s">
        <v>88</v>
      </c>
      <c r="J37" s="165"/>
      <c r="K37" s="165"/>
      <c r="L37" s="165"/>
      <c r="M37" s="165"/>
      <c r="N37" s="189"/>
      <c r="O37" s="189">
        <v>1.1227591246442172</v>
      </c>
      <c r="P37" s="189">
        <v>1.005872281915694</v>
      </c>
      <c r="Q37" s="189">
        <v>0.87732711633210914</v>
      </c>
      <c r="R37" s="189"/>
      <c r="S37" s="189"/>
      <c r="T37" s="189"/>
      <c r="U37" s="17"/>
      <c r="V37" s="1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</row>
    <row r="38" spans="1:47" s="8" customFormat="1">
      <c r="A38" s="17"/>
      <c r="B38" s="17"/>
      <c r="C38" s="191" t="s">
        <v>269</v>
      </c>
      <c r="D38" s="127" t="s">
        <v>53</v>
      </c>
      <c r="E38" s="127" t="str">
        <f>units</f>
        <v>$millions</v>
      </c>
      <c r="F38" s="146">
        <f>DATE(PPLastYear,MONTH(month),1)</f>
        <v>45444</v>
      </c>
      <c r="G38" s="168" t="s">
        <v>80</v>
      </c>
      <c r="H38" s="168" t="s">
        <v>82</v>
      </c>
      <c r="I38" s="168" t="s">
        <v>88</v>
      </c>
      <c r="J38" s="165"/>
      <c r="K38" s="165"/>
      <c r="L38" s="165"/>
      <c r="M38" s="165"/>
      <c r="N38" s="189"/>
      <c r="O38" s="189">
        <v>0.91759168714003847</v>
      </c>
      <c r="P38" s="189">
        <v>0.31995958989722323</v>
      </c>
      <c r="Q38" s="189">
        <v>0.34202896127907373</v>
      </c>
      <c r="R38" s="189"/>
      <c r="S38" s="189"/>
      <c r="T38" s="189"/>
      <c r="U38" s="17"/>
      <c r="V38" s="17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</row>
    <row r="39" spans="1:47" s="8" customFormat="1">
      <c r="A39" s="17"/>
      <c r="B39" s="17"/>
      <c r="C39" s="134" t="s">
        <v>270</v>
      </c>
      <c r="D39" s="127" t="s">
        <v>53</v>
      </c>
      <c r="E39" s="127" t="str">
        <f>units</f>
        <v>$millions</v>
      </c>
      <c r="F39" s="146">
        <f>DATE(PPLastYear,MONTH(month),1)</f>
        <v>45444</v>
      </c>
      <c r="G39" s="168" t="s">
        <v>81</v>
      </c>
      <c r="H39" s="168" t="s">
        <v>82</v>
      </c>
      <c r="I39" s="168" t="s">
        <v>88</v>
      </c>
      <c r="J39" s="165"/>
      <c r="K39" s="165"/>
      <c r="L39" s="165"/>
      <c r="M39" s="165"/>
      <c r="N39" s="189"/>
      <c r="O39" s="189">
        <v>2.1767842070259285</v>
      </c>
      <c r="P39" s="189">
        <v>1.950166201724747</v>
      </c>
      <c r="Q39" s="189">
        <v>1.700945260037412</v>
      </c>
      <c r="R39" s="189"/>
      <c r="S39" s="189"/>
      <c r="T39" s="189"/>
      <c r="U39" s="17"/>
      <c r="V39" s="17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</row>
    <row r="40" spans="1:47" s="8" customFormat="1">
      <c r="A40" s="17"/>
      <c r="B40" s="17"/>
      <c r="C40" s="17"/>
      <c r="D40" s="127"/>
      <c r="E40" s="127"/>
      <c r="F40" s="127"/>
      <c r="G40" s="128"/>
      <c r="H40" s="128"/>
      <c r="I40" s="12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</row>
    <row r="41" spans="1:47" s="8" customFormat="1" ht="10.5">
      <c r="A41" s="17"/>
      <c r="B41" s="17"/>
      <c r="C41" s="17" t="s">
        <v>138</v>
      </c>
      <c r="D41" s="127" t="s">
        <v>126</v>
      </c>
      <c r="E41" s="127" t="s">
        <v>139</v>
      </c>
      <c r="F41" s="127" t="s">
        <v>140</v>
      </c>
      <c r="G41" s="127"/>
      <c r="H41" s="127"/>
      <c r="I41" s="127"/>
      <c r="J41" s="172" t="str">
        <f t="shared" ref="J41:R41" si="6">IF(J33=J4,IF(COUNTA($C35:$C39)=COUNT(J35:J39),"Ok","Check"),"")</f>
        <v/>
      </c>
      <c r="K41" s="172" t="str">
        <f t="shared" si="6"/>
        <v/>
      </c>
      <c r="L41" s="172" t="str">
        <f t="shared" si="6"/>
        <v/>
      </c>
      <c r="M41" s="172" t="str">
        <f t="shared" si="6"/>
        <v/>
      </c>
      <c r="N41" s="172" t="str">
        <f t="shared" si="6"/>
        <v/>
      </c>
      <c r="O41" s="172" t="str">
        <f t="shared" si="6"/>
        <v>Ok</v>
      </c>
      <c r="P41" s="172" t="str">
        <f t="shared" si="6"/>
        <v>Ok</v>
      </c>
      <c r="Q41" s="172" t="str">
        <f t="shared" si="6"/>
        <v>Ok</v>
      </c>
      <c r="R41" s="172" t="str">
        <f t="shared" si="6"/>
        <v/>
      </c>
      <c r="S41" s="172" t="str">
        <f>IF(S33=S4,IF(COUNTA($C35:$C39)=COUNT(S35:S39),"Ok","Check"),"")</f>
        <v/>
      </c>
      <c r="T41" s="172" t="str">
        <f>IF(T33=T4,IF(COUNTA($C35:$C39)=COUNT(T35:T39),"Ok","Check"),"")</f>
        <v/>
      </c>
      <c r="U41" s="173"/>
      <c r="V41" s="17"/>
      <c r="W41" s="84" t="str">
        <f>IF(COUNTIF(J41:T41,"Check")=0,"Ok","Check")</f>
        <v>Ok</v>
      </c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</row>
    <row r="42" spans="1:47" s="8" customFormat="1">
      <c r="A42" s="17"/>
      <c r="B42" s="17"/>
      <c r="C42" s="17"/>
      <c r="D42" s="127"/>
      <c r="E42" s="127"/>
      <c r="F42" s="127"/>
      <c r="G42" s="128"/>
      <c r="H42" s="128"/>
      <c r="I42" s="12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</row>
    <row r="43" spans="1:47" ht="12.3">
      <c r="A43" s="34"/>
      <c r="B43" s="40" t="s">
        <v>163</v>
      </c>
      <c r="C43" s="34"/>
      <c r="D43" s="34"/>
      <c r="E43" s="34"/>
      <c r="F43" s="125"/>
      <c r="G43" s="125"/>
      <c r="H43" s="125"/>
      <c r="I43" s="125"/>
      <c r="J43" s="36"/>
      <c r="K43" s="126"/>
      <c r="L43" s="36"/>
      <c r="M43" s="126"/>
      <c r="N43" s="36"/>
      <c r="O43" s="36"/>
      <c r="P43" s="36"/>
      <c r="Q43" s="36"/>
      <c r="R43" s="36"/>
      <c r="S43" s="36"/>
      <c r="T43" s="36"/>
      <c r="U43" s="36"/>
      <c r="V43" s="126"/>
      <c r="W43" s="37"/>
    </row>
    <row r="44" spans="1:47" s="8" customFormat="1">
      <c r="A44" s="17"/>
      <c r="B44" s="17"/>
      <c r="C44" s="17"/>
      <c r="D44" s="127"/>
      <c r="E44" s="127"/>
      <c r="F44" s="127"/>
      <c r="G44" s="128"/>
      <c r="H44" s="128"/>
      <c r="I44" s="12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</row>
    <row r="45" spans="1:47" s="8" customFormat="1" ht="10.5">
      <c r="A45" s="17"/>
      <c r="B45" s="17"/>
      <c r="C45" s="129" t="s">
        <v>164</v>
      </c>
      <c r="D45" s="128" t="s">
        <v>47</v>
      </c>
      <c r="E45" s="128" t="s">
        <v>70</v>
      </c>
      <c r="F45" s="128" t="s">
        <v>75</v>
      </c>
      <c r="G45" s="128"/>
      <c r="H45" s="128"/>
      <c r="I45" s="127"/>
      <c r="J45" s="145" t="str">
        <f t="shared" ref="J45:T45" si="7">IF(YEAR(J$4)&gt;=FPFirstYear,IF(YEAR(J$4)&lt;=FPLastYear,J$4,""),"")</f>
        <v/>
      </c>
      <c r="K45" s="145" t="str">
        <f t="shared" si="7"/>
        <v/>
      </c>
      <c r="L45" s="145" t="str">
        <f t="shared" si="7"/>
        <v/>
      </c>
      <c r="M45" s="145" t="str">
        <f t="shared" si="7"/>
        <v/>
      </c>
      <c r="N45" s="145" t="str">
        <f t="shared" si="7"/>
        <v/>
      </c>
      <c r="O45" s="145">
        <f t="shared" si="7"/>
        <v>45809</v>
      </c>
      <c r="P45" s="145">
        <f t="shared" si="7"/>
        <v>46174</v>
      </c>
      <c r="Q45" s="145">
        <f t="shared" si="7"/>
        <v>46539</v>
      </c>
      <c r="R45" s="145" t="str">
        <f t="shared" si="7"/>
        <v/>
      </c>
      <c r="S45" s="145" t="str">
        <f t="shared" si="7"/>
        <v/>
      </c>
      <c r="T45" s="145" t="str">
        <f t="shared" si="7"/>
        <v/>
      </c>
      <c r="U45" s="17"/>
      <c r="V45" s="17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</row>
    <row r="46" spans="1:47" s="8" customFormat="1">
      <c r="A46" s="17"/>
      <c r="B46" s="17"/>
      <c r="C46" s="17"/>
      <c r="D46" s="127"/>
      <c r="E46" s="127"/>
      <c r="F46" s="127"/>
      <c r="G46" s="128"/>
      <c r="H46" s="128"/>
      <c r="I46" s="12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</row>
    <row r="47" spans="1:47" s="8" customFormat="1">
      <c r="A47" s="17"/>
      <c r="B47" s="17"/>
      <c r="C47" s="132" t="s">
        <v>109</v>
      </c>
      <c r="D47" s="127" t="s">
        <v>165</v>
      </c>
      <c r="E47" s="127" t="s">
        <v>62</v>
      </c>
      <c r="F47" s="146">
        <f>DATE(PPLastYear,MONTH(month),1)</f>
        <v>45444</v>
      </c>
      <c r="G47" s="128"/>
      <c r="H47" s="128"/>
      <c r="I47" s="128"/>
      <c r="J47" s="189"/>
      <c r="K47" s="189"/>
      <c r="L47" s="189"/>
      <c r="M47" s="189"/>
      <c r="N47" s="189"/>
      <c r="O47" s="189">
        <v>0</v>
      </c>
      <c r="P47" s="189">
        <v>0</v>
      </c>
      <c r="Q47" s="189">
        <v>0</v>
      </c>
      <c r="R47" s="189"/>
      <c r="S47" s="189"/>
      <c r="T47" s="189"/>
      <c r="U47" s="17"/>
      <c r="V47" s="196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</row>
    <row r="48" spans="1:47" s="8" customFormat="1">
      <c r="A48" s="17"/>
      <c r="B48" s="17"/>
      <c r="C48" s="17"/>
      <c r="D48" s="127"/>
      <c r="E48" s="127"/>
      <c r="F48" s="127"/>
      <c r="G48" s="128"/>
      <c r="H48" s="128"/>
      <c r="I48" s="12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</row>
    <row r="49" spans="1:47" s="8" customFormat="1" ht="10.5">
      <c r="A49" s="17"/>
      <c r="B49" s="17"/>
      <c r="C49" s="17" t="s">
        <v>138</v>
      </c>
      <c r="D49" s="127" t="s">
        <v>126</v>
      </c>
      <c r="E49" s="127" t="s">
        <v>139</v>
      </c>
      <c r="F49" s="127" t="s">
        <v>140</v>
      </c>
      <c r="G49" s="127"/>
      <c r="H49" s="127"/>
      <c r="I49" s="127"/>
      <c r="J49" s="172" t="str">
        <f t="shared" ref="J49:R49" si="8">IF(J45=J4,IF(ISBLANK(J47),"Check","Ok"),"")</f>
        <v/>
      </c>
      <c r="K49" s="172" t="str">
        <f t="shared" si="8"/>
        <v/>
      </c>
      <c r="L49" s="172" t="str">
        <f t="shared" si="8"/>
        <v/>
      </c>
      <c r="M49" s="172" t="str">
        <f t="shared" si="8"/>
        <v/>
      </c>
      <c r="N49" s="172" t="str">
        <f t="shared" si="8"/>
        <v/>
      </c>
      <c r="O49" s="172" t="str">
        <f>IF(O45=O4,IF(ISBLANK(O47),"Check","Ok"),"")</f>
        <v>Ok</v>
      </c>
      <c r="P49" s="172" t="str">
        <f t="shared" si="8"/>
        <v>Ok</v>
      </c>
      <c r="Q49" s="172" t="str">
        <f t="shared" si="8"/>
        <v>Ok</v>
      </c>
      <c r="R49" s="172" t="str">
        <f t="shared" si="8"/>
        <v/>
      </c>
      <c r="S49" s="172" t="str">
        <f>IF(S45=S4,IF(ISBLANK(S47),"Check","Ok"),"")</f>
        <v/>
      </c>
      <c r="T49" s="172" t="str">
        <f>IF(T45=T4,IF(ISBLANK(T47),"Check","Ok"),"")</f>
        <v/>
      </c>
      <c r="U49" s="173"/>
      <c r="V49" s="17"/>
      <c r="W49" s="84" t="str">
        <f>IF(COUNTIF(J49:T49,"Check")=0,"Ok","Check")</f>
        <v>Ok</v>
      </c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</row>
    <row r="50" spans="1:47" s="8" customFormat="1">
      <c r="A50" s="17"/>
      <c r="B50" s="17"/>
      <c r="C50" s="17"/>
      <c r="D50" s="127"/>
      <c r="E50" s="127"/>
      <c r="F50" s="127"/>
      <c r="G50" s="128"/>
      <c r="H50" s="128"/>
      <c r="I50" s="12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</row>
    <row r="51" spans="1:47" ht="12.3">
      <c r="A51" s="34"/>
      <c r="B51" s="40" t="s">
        <v>37</v>
      </c>
      <c r="C51" s="34"/>
      <c r="D51" s="34"/>
      <c r="E51" s="34"/>
      <c r="F51" s="125"/>
      <c r="G51" s="125"/>
      <c r="H51" s="125"/>
      <c r="I51" s="125"/>
      <c r="J51" s="36"/>
      <c r="K51" s="126"/>
      <c r="L51" s="36"/>
      <c r="M51" s="126"/>
      <c r="N51" s="36"/>
      <c r="O51" s="36"/>
      <c r="P51" s="36"/>
      <c r="Q51" s="36"/>
      <c r="R51" s="36"/>
      <c r="S51" s="36"/>
      <c r="T51" s="36"/>
      <c r="U51" s="36"/>
      <c r="V51" s="126"/>
      <c r="W51" s="37"/>
    </row>
  </sheetData>
  <mergeCells count="1">
    <mergeCell ref="N3:S3"/>
  </mergeCells>
  <conditionalFormatting sqref="J35:M39 O38:O39">
    <cfRule type="expression" dxfId="69" priority="14">
      <formula>J$33=J$4</formula>
    </cfRule>
  </conditionalFormatting>
  <conditionalFormatting sqref="J10:T10">
    <cfRule type="expression" dxfId="68" priority="26">
      <formula>J$10=J$4</formula>
    </cfRule>
  </conditionalFormatting>
  <conditionalFormatting sqref="J12:T27">
    <cfRule type="expression" dxfId="67" priority="1">
      <formula>J$10=J$4</formula>
    </cfRule>
  </conditionalFormatting>
  <conditionalFormatting sqref="J29:T29">
    <cfRule type="cellIs" dxfId="66" priority="19" operator="equal">
      <formula>"Check"</formula>
    </cfRule>
    <cfRule type="cellIs" dxfId="65" priority="20" operator="equal">
      <formula>"Ok"</formula>
    </cfRule>
  </conditionalFormatting>
  <conditionalFormatting sqref="J33:T33">
    <cfRule type="expression" dxfId="64" priority="4">
      <formula>J$10=J$4</formula>
    </cfRule>
  </conditionalFormatting>
  <conditionalFormatting sqref="J41:T41">
    <cfRule type="cellIs" dxfId="63" priority="15" operator="equal">
      <formula>"Check"</formula>
    </cfRule>
    <cfRule type="cellIs" dxfId="62" priority="16" operator="equal">
      <formula>"Ok"</formula>
    </cfRule>
  </conditionalFormatting>
  <conditionalFormatting sqref="J45:T45">
    <cfRule type="expression" dxfId="61" priority="3">
      <formula>J$10=J$4</formula>
    </cfRule>
  </conditionalFormatting>
  <conditionalFormatting sqref="J47:T47">
    <cfRule type="expression" dxfId="60" priority="5">
      <formula>J$45=J$4</formula>
    </cfRule>
  </conditionalFormatting>
  <conditionalFormatting sqref="J49:T49">
    <cfRule type="cellIs" dxfId="59" priority="10" operator="equal">
      <formula>"Check"</formula>
    </cfRule>
    <cfRule type="cellIs" dxfId="58" priority="11" operator="equal">
      <formula>"Ok"</formula>
    </cfRule>
  </conditionalFormatting>
  <conditionalFormatting sqref="N35:N39">
    <cfRule type="expression" dxfId="57" priority="8">
      <formula>N$10=N$4</formula>
    </cfRule>
  </conditionalFormatting>
  <conditionalFormatting sqref="O35:T37 P38:T39">
    <cfRule type="expression" dxfId="56" priority="9">
      <formula>O$10=O$4</formula>
    </cfRule>
  </conditionalFormatting>
  <conditionalFormatting sqref="S1">
    <cfRule type="cellIs" dxfId="55" priority="28" operator="equal">
      <formula>"Check"</formula>
    </cfRule>
    <cfRule type="cellIs" dxfId="54" priority="29" operator="equal">
      <formula>"Ok"</formula>
    </cfRule>
  </conditionalFormatting>
  <conditionalFormatting sqref="V1">
    <cfRule type="cellIs" dxfId="53" priority="30" operator="equal">
      <formula>"Check"</formula>
    </cfRule>
    <cfRule type="cellIs" dxfId="52" priority="31" operator="equal">
      <formula>"Ok"</formula>
    </cfRule>
  </conditionalFormatting>
  <conditionalFormatting sqref="W29">
    <cfRule type="cellIs" dxfId="51" priority="21" operator="equal">
      <formula>"Check"</formula>
    </cfRule>
    <cfRule type="cellIs" dxfId="50" priority="22" operator="equal">
      <formula>"Ok"</formula>
    </cfRule>
  </conditionalFormatting>
  <conditionalFormatting sqref="W41">
    <cfRule type="cellIs" dxfId="49" priority="17" operator="equal">
      <formula>"Check"</formula>
    </cfRule>
    <cfRule type="cellIs" dxfId="48" priority="18" operator="equal">
      <formula>"Ok"</formula>
    </cfRule>
  </conditionalFormatting>
  <conditionalFormatting sqref="W49">
    <cfRule type="cellIs" dxfId="47" priority="12" operator="equal">
      <formula>"Check"</formula>
    </cfRule>
    <cfRule type="cellIs" dxfId="46" priority="13" operator="equal">
      <formula>"Ok"</formula>
    </cfRule>
  </conditionalFormatting>
  <dataValidations count="2">
    <dataValidation type="list" allowBlank="1" showInputMessage="1" showErrorMessage="1" sqref="F30 F40 F42 F50" xr:uid="{00000000-0002-0000-0600-000000000000}">
      <formula1>"Real 2010,Real 2011,Real 2012,Real 2013,Real 2014,Real 2015,Nominal"</formula1>
    </dataValidation>
    <dataValidation type="list" allowBlank="1" showInputMessage="1" showErrorMessage="1" sqref="U35:U40 I50 U30 I30 U50 I40 U42 I42 U12:U28" xr:uid="{00000000-0002-0000-0600-000001000000}">
      <formula1>#REF!</formula1>
    </dataValidation>
  </dataValidations>
  <hyperlinks>
    <hyperlink ref="J1" location="Index!A1" display="Back to Index" xr:uid="{00000000-0004-0000-0600-000000000000}"/>
    <hyperlink ref="U1" location="'Check|List'!A1" display="Overall Check:" xr:uid="{00000000-0004-0000-06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600-000002000000}">
          <x14:formula1>
            <xm:f>'Lookup|Tables'!$G$17:$G$19</xm:f>
          </x14:formula1>
          <xm:sqref>E47 E28</xm:sqref>
        </x14:dataValidation>
        <x14:dataValidation type="list" allowBlank="1" showInputMessage="1" showErrorMessage="1" xr:uid="{00000000-0002-0000-0600-000003000000}">
          <x14:formula1>
            <xm:f>'Lookup|Tables'!$C$78:$C$87</xm:f>
          </x14:formula1>
          <xm:sqref>F28</xm:sqref>
        </x14:dataValidation>
        <x14:dataValidation type="list" allowBlank="1" showInputMessage="1" showErrorMessage="1" xr:uid="{14CECCA5-33E3-4183-8658-FEC2A3B97FEB}">
          <x14:formula1>
            <xm:f>'Lookup|Tables'!$G$30:$G$31</xm:f>
          </x14:formula1>
          <xm:sqref>H35:H39 H12:H27</xm:sqref>
        </x14:dataValidation>
        <x14:dataValidation type="list" allowBlank="1" showInputMessage="1" showErrorMessage="1" xr:uid="{6C0B18A7-D069-4CC7-92E6-FE8D08BAB99A}">
          <x14:formula1>
            <xm:f>'Input|PWC'!$C$47:$C$50</xm:f>
          </x14:formula1>
          <xm:sqref>I35:I39 I12:I27</xm:sqref>
        </x14:dataValidation>
        <x14:dataValidation type="list" allowBlank="1" showInputMessage="1" showErrorMessage="1" xr:uid="{28EA5FD6-B71A-4B94-B1E9-2BF4D1EC6087}">
          <x14:formula1>
            <xm:f>'Input|PWC'!$Q$46:$U$46</xm:f>
          </x14:formula1>
          <xm:sqref>G35:G39 G12:G27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X101"/>
  <sheetViews>
    <sheetView showGridLines="0" zoomScaleNormal="100" workbookViewId="0"/>
  </sheetViews>
  <sheetFormatPr defaultColWidth="0" defaultRowHeight="10.199999999999999" zeroHeight="1" outlineLevelRow="1"/>
  <cols>
    <col min="1" max="2" width="1.46484375" customWidth="1"/>
    <col min="3" max="3" width="76.46484375" bestFit="1" customWidth="1"/>
    <col min="4" max="4" width="27.6640625" customWidth="1"/>
    <col min="5" max="5" width="15.796875" customWidth="1"/>
    <col min="6" max="6" width="10.6640625" customWidth="1"/>
    <col min="7" max="7" width="30.1328125" customWidth="1"/>
    <col min="8" max="8" width="21.6640625" customWidth="1"/>
    <col min="9" max="9" width="18" customWidth="1"/>
    <col min="10" max="24" width="10.796875" customWidth="1"/>
    <col min="25" max="16384" width="10.46484375" hidden="1"/>
  </cols>
  <sheetData>
    <row r="1" spans="1:24" ht="15">
      <c r="A1" s="29"/>
      <c r="B1" s="26" t="str">
        <f>Index!$B$1</f>
        <v>AER opex model - version: NTESMO 2024-27</v>
      </c>
      <c r="C1" s="26"/>
      <c r="D1" s="26"/>
      <c r="E1" s="26"/>
      <c r="F1" s="27"/>
      <c r="G1" s="27"/>
      <c r="H1" s="27"/>
      <c r="I1" s="27"/>
      <c r="J1" s="28" t="s">
        <v>38</v>
      </c>
      <c r="K1" s="29"/>
      <c r="L1" s="30" t="s">
        <v>39</v>
      </c>
      <c r="M1" s="48" t="s">
        <v>40</v>
      </c>
      <c r="N1" s="11" t="s">
        <v>41</v>
      </c>
      <c r="O1" s="12" t="s">
        <v>42</v>
      </c>
      <c r="P1" s="29"/>
      <c r="Q1" s="29"/>
      <c r="R1" s="30" t="s">
        <v>43</v>
      </c>
      <c r="S1" s="31" t="s">
        <v>140</v>
      </c>
      <c r="T1" s="31"/>
      <c r="U1" s="29"/>
      <c r="V1" s="113" t="s">
        <v>44</v>
      </c>
      <c r="W1" s="31" t="str">
        <f>'Check|List'!$S$1</f>
        <v>Ok</v>
      </c>
      <c r="X1" s="29"/>
    </row>
    <row r="2" spans="1:24" ht="12.9" thickBot="1">
      <c r="A2" s="33"/>
      <c r="B2" s="32" t="str">
        <f>Index!$C$13</f>
        <v>Calc | Opex Forecast</v>
      </c>
      <c r="C2" s="32"/>
      <c r="D2" s="32"/>
      <c r="E2" s="32"/>
      <c r="F2" s="55"/>
      <c r="G2" s="55"/>
      <c r="H2" s="55"/>
      <c r="I2" s="55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</row>
    <row r="3" spans="1:24" ht="10.5">
      <c r="A3" s="56"/>
      <c r="B3" s="56"/>
      <c r="C3" s="56"/>
      <c r="D3" s="110"/>
      <c r="E3" s="110"/>
      <c r="F3" s="110"/>
      <c r="G3" s="110"/>
      <c r="H3" s="110"/>
      <c r="I3" s="110"/>
      <c r="J3" s="104" t="s">
        <v>55</v>
      </c>
      <c r="K3" s="104"/>
      <c r="L3" s="104"/>
      <c r="M3" s="110"/>
      <c r="N3" s="210"/>
      <c r="O3" s="210"/>
      <c r="P3" s="210"/>
      <c r="Q3" s="210"/>
      <c r="R3" s="210"/>
      <c r="S3" s="210"/>
      <c r="T3" s="110"/>
      <c r="U3" s="57"/>
      <c r="V3" s="57"/>
      <c r="W3" s="57"/>
      <c r="X3" s="57"/>
    </row>
    <row r="4" spans="1:24">
      <c r="A4" s="58"/>
      <c r="B4" s="58"/>
      <c r="C4" s="58"/>
      <c r="D4" s="59" t="s">
        <v>47</v>
      </c>
      <c r="E4" s="59" t="s">
        <v>70</v>
      </c>
      <c r="F4" s="60" t="s">
        <v>75</v>
      </c>
      <c r="G4" s="61"/>
      <c r="H4" s="61"/>
      <c r="I4" s="61"/>
      <c r="J4" s="97">
        <f>DATE(PPFirstYear,MONTH('Input|General'!$G$9),1)</f>
        <v>43983</v>
      </c>
      <c r="K4" s="97">
        <f>DATE(PPFirstYear+1,MONTH('Input|General'!$G$9),1)</f>
        <v>44348</v>
      </c>
      <c r="L4" s="97">
        <f>DATE(PPFirstYear+2,MONTH('Input|General'!$G$9),1)</f>
        <v>44713</v>
      </c>
      <c r="M4" s="97">
        <f>DATE(PPFirstYear+3,MONTH('Input|General'!$G$9),1)</f>
        <v>45078</v>
      </c>
      <c r="N4" s="97">
        <f>DATE(PPFirstYear+4,MONTH('Input|General'!$G$9),1)</f>
        <v>45444</v>
      </c>
      <c r="O4" s="97">
        <f>DATE(PPFirstYear+5,MONTH('Input|General'!$G$9),1)</f>
        <v>45809</v>
      </c>
      <c r="P4" s="97">
        <f>DATE(PPFirstYear+6,MONTH('Input|General'!$G$9),1)</f>
        <v>46174</v>
      </c>
      <c r="Q4" s="97">
        <f>DATE(PPFirstYear+7,MONTH('Input|General'!$G$9),1)</f>
        <v>46539</v>
      </c>
      <c r="R4" s="97">
        <f>DATE(PPFirstYear+8,MONTH('Input|General'!$G$9),1)</f>
        <v>46905</v>
      </c>
      <c r="S4" s="97">
        <f>DATE(PPFirstYear+9,MONTH('Input|General'!$G$9),1)</f>
        <v>47270</v>
      </c>
      <c r="T4" s="97">
        <f>DATE(PPFirstYear+10,MONTH('Input|General'!$G$9),1)</f>
        <v>47635</v>
      </c>
      <c r="U4" s="62"/>
      <c r="V4" s="62"/>
      <c r="W4" s="63"/>
      <c r="X4" s="63"/>
    </row>
    <row r="5" spans="1:24" ht="3" customHeight="1">
      <c r="A5" s="6"/>
      <c r="B5" s="6"/>
      <c r="C5" s="6"/>
      <c r="D5" s="22"/>
      <c r="E5" s="22"/>
      <c r="F5" s="22"/>
      <c r="G5" s="22"/>
      <c r="H5" s="22"/>
      <c r="I5" s="22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9" customHeight="1">
      <c r="A6" s="6"/>
      <c r="B6" s="6"/>
      <c r="C6" s="6"/>
      <c r="D6" s="22"/>
      <c r="E6" s="22"/>
      <c r="F6" s="22"/>
      <c r="G6" s="22"/>
      <c r="H6" s="22"/>
      <c r="I6" s="22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" customHeight="1">
      <c r="A7" s="6"/>
      <c r="B7" s="6"/>
      <c r="C7" s="6"/>
      <c r="D7" s="22"/>
      <c r="E7" s="22"/>
      <c r="F7" s="22"/>
      <c r="G7" s="22"/>
      <c r="H7" s="22"/>
      <c r="I7" s="22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12.3">
      <c r="A8" s="34"/>
      <c r="B8" s="40" t="s">
        <v>166</v>
      </c>
      <c r="C8" s="34"/>
      <c r="D8" s="34"/>
      <c r="E8" s="54" t="s">
        <v>62</v>
      </c>
      <c r="F8" s="117">
        <f>DATE(PPLastYear,MONTH('Input|General'!$G$9),1)</f>
        <v>45444</v>
      </c>
      <c r="G8" s="35"/>
      <c r="H8" s="35"/>
      <c r="I8" s="35"/>
      <c r="J8" s="36"/>
      <c r="K8" s="37"/>
      <c r="L8" s="36"/>
      <c r="M8" s="37"/>
      <c r="N8" s="36"/>
      <c r="O8" s="36"/>
      <c r="P8" s="36"/>
      <c r="Q8" s="36"/>
      <c r="R8" s="36"/>
      <c r="S8" s="36"/>
      <c r="T8" s="36"/>
      <c r="U8" s="36"/>
      <c r="V8" s="36"/>
      <c r="W8" s="37"/>
      <c r="X8" s="37"/>
    </row>
    <row r="9" spans="1:24" outlineLevel="1">
      <c r="A9" s="8"/>
      <c r="B9" s="8"/>
      <c r="C9" s="8"/>
      <c r="D9" s="16"/>
      <c r="E9" s="16"/>
      <c r="F9" s="16"/>
      <c r="G9" s="16"/>
      <c r="H9" s="16"/>
      <c r="I9" s="16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</row>
    <row r="10" spans="1:24" ht="10.5" outlineLevel="1">
      <c r="A10" s="8"/>
      <c r="B10" s="8"/>
      <c r="C10" s="9"/>
      <c r="D10" s="21" t="s">
        <v>47</v>
      </c>
      <c r="E10" s="21" t="s">
        <v>70</v>
      </c>
      <c r="F10" s="21" t="s">
        <v>75</v>
      </c>
      <c r="G10" s="16"/>
      <c r="H10" s="16"/>
      <c r="I10" s="16"/>
      <c r="J10" s="102">
        <f t="shared" ref="J10:S10" si="0">IF(YEAR(J$4)&lt;=PPLastYear,J$4,"")</f>
        <v>43983</v>
      </c>
      <c r="K10" s="102">
        <f t="shared" si="0"/>
        <v>44348</v>
      </c>
      <c r="L10" s="102">
        <f t="shared" si="0"/>
        <v>44713</v>
      </c>
      <c r="M10" s="102">
        <f t="shared" si="0"/>
        <v>45078</v>
      </c>
      <c r="N10" s="102">
        <f t="shared" si="0"/>
        <v>45444</v>
      </c>
      <c r="O10" s="102" t="str">
        <f t="shared" si="0"/>
        <v/>
      </c>
      <c r="P10" s="102" t="str">
        <f t="shared" si="0"/>
        <v/>
      </c>
      <c r="Q10" s="102" t="str">
        <f t="shared" si="0"/>
        <v/>
      </c>
      <c r="R10" s="102" t="str">
        <f t="shared" si="0"/>
        <v/>
      </c>
      <c r="S10" s="102" t="str">
        <f t="shared" si="0"/>
        <v/>
      </c>
      <c r="T10" s="102"/>
      <c r="U10" s="8"/>
      <c r="V10" s="8"/>
      <c r="W10" s="8"/>
      <c r="X10" s="8"/>
    </row>
    <row r="11" spans="1:24" outlineLevel="1">
      <c r="A11" s="8"/>
      <c r="B11" s="8"/>
      <c r="C11" s="15"/>
      <c r="D11" s="16"/>
      <c r="E11" s="16"/>
      <c r="F11" s="16"/>
      <c r="G11" s="16"/>
      <c r="H11" s="16"/>
      <c r="I11" s="16"/>
      <c r="J11" s="67"/>
      <c r="K11" s="67"/>
      <c r="L11" s="67"/>
      <c r="M11" s="67"/>
      <c r="N11" s="67"/>
      <c r="O11" s="67"/>
      <c r="P11" s="67"/>
      <c r="Q11" s="208"/>
      <c r="R11" s="67"/>
      <c r="S11" s="67"/>
      <c r="T11" s="67"/>
      <c r="U11" s="8"/>
      <c r="V11" s="8"/>
      <c r="W11" s="8"/>
      <c r="X11" s="8"/>
    </row>
    <row r="12" spans="1:24" outlineLevel="1">
      <c r="A12" s="8"/>
      <c r="B12" s="8"/>
      <c r="C12" s="15" t="s">
        <v>167</v>
      </c>
      <c r="D12" s="68" t="s">
        <v>168</v>
      </c>
      <c r="E12" s="16" t="str">
        <f>'Input|Reported opex'!E57</f>
        <v>$millions</v>
      </c>
      <c r="F12" s="101" t="str">
        <f>'Input|Reported opex'!F57</f>
        <v>nominal</v>
      </c>
      <c r="G12" s="16"/>
      <c r="H12" s="16"/>
      <c r="I12" s="16"/>
      <c r="J12" s="69">
        <f>IF(YEAR(J$4)=BaseYear,'Input|Reported opex'!J47,0)</f>
        <v>0</v>
      </c>
      <c r="K12" s="69">
        <f>IF(YEAR(K$4)=BaseYear,'Input|Reported opex'!K47,0)</f>
        <v>0</v>
      </c>
      <c r="L12" s="69">
        <f>IF(YEAR(L$4)=BaseYear,'Input|Reported opex'!L47,0)</f>
        <v>0</v>
      </c>
      <c r="M12" s="69">
        <f>IF(YEAR(M$4)=BaseYear,'Input|Reported opex'!M47,0)</f>
        <v>14.019767812059998</v>
      </c>
      <c r="N12" s="69">
        <f>IF(YEAR(N$4)=BaseYear,'Input|Reported opex'!N47,0)</f>
        <v>0</v>
      </c>
      <c r="O12" s="69">
        <f>IF(YEAR(O$4)=BaseYear,'Input|Reported opex'!O47,0)</f>
        <v>0</v>
      </c>
      <c r="P12" s="69">
        <f>IF(YEAR(P$4)=BaseYear,'Input|Reported opex'!P47,0)</f>
        <v>0</v>
      </c>
      <c r="Q12" s="208"/>
      <c r="R12" s="69">
        <f>IF(YEAR(R$4)=BaseYear,'Input|Reported opex'!R47,0)</f>
        <v>0</v>
      </c>
      <c r="S12" s="69">
        <f>IF(YEAR(S$4)=BaseYear,'Input|Reported opex'!S47,0)</f>
        <v>0</v>
      </c>
      <c r="T12" s="69">
        <f>IF(YEAR(T$4)=BaseYear,'Input|Reported opex'!T47,0)</f>
        <v>0</v>
      </c>
      <c r="U12" s="8"/>
      <c r="V12" s="8"/>
      <c r="W12" s="8"/>
      <c r="X12" s="8"/>
    </row>
    <row r="13" spans="1:24" outlineLevel="1">
      <c r="A13" s="8"/>
      <c r="B13" s="8"/>
      <c r="C13" s="15" t="s">
        <v>167</v>
      </c>
      <c r="D13" s="16" t="s">
        <v>68</v>
      </c>
      <c r="E13" s="16" t="str">
        <f>$E$8</f>
        <v>$millions</v>
      </c>
      <c r="F13" s="101">
        <f>$F$8</f>
        <v>45444</v>
      </c>
      <c r="G13" s="16"/>
      <c r="H13" s="16"/>
      <c r="I13" s="16"/>
      <c r="J13" s="69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9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9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69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14.986735424021857</v>
      </c>
      <c r="N13" s="69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9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9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9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9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9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9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U13" s="8"/>
      <c r="V13" s="8"/>
      <c r="W13" s="8"/>
      <c r="X13" s="8"/>
    </row>
    <row r="14" spans="1:24" outlineLevel="1">
      <c r="A14" s="8"/>
      <c r="B14" s="8"/>
      <c r="C14" s="15"/>
      <c r="D14" s="16"/>
      <c r="E14" s="16"/>
      <c r="F14" s="101"/>
      <c r="G14" s="16"/>
      <c r="H14" s="16"/>
      <c r="I14" s="16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8"/>
      <c r="V14" s="8"/>
      <c r="W14" s="8"/>
      <c r="X14" s="8"/>
    </row>
    <row r="15" spans="1:24" outlineLevel="1">
      <c r="A15" s="8"/>
      <c r="B15" s="8"/>
      <c r="C15" s="15" t="s">
        <v>169</v>
      </c>
      <c r="D15" s="68" t="s">
        <v>168</v>
      </c>
      <c r="E15" s="16" t="str">
        <f>'Input|Reported opex'!E64</f>
        <v>$millions</v>
      </c>
      <c r="F15" s="101" t="str">
        <f>'Input|Reported opex'!F57</f>
        <v>nominal</v>
      </c>
      <c r="G15" s="16"/>
      <c r="H15" s="16"/>
      <c r="I15" s="16"/>
      <c r="J15" s="69">
        <f>IF(YEAR(J$4)=BaseYear,'Input|Reported opex'!J57,0)</f>
        <v>0</v>
      </c>
      <c r="K15" s="69">
        <f>IF(YEAR(K$4)=BaseYear,'Input|Reported opex'!K57,0)</f>
        <v>0</v>
      </c>
      <c r="L15" s="69">
        <f>IF(YEAR(L$4)=BaseYear,'Input|Reported opex'!L57,0)</f>
        <v>0</v>
      </c>
      <c r="M15" s="69">
        <f>IF(YEAR(M$4)=BaseYear,'Input|Reported opex'!M57,0)</f>
        <v>0</v>
      </c>
      <c r="N15" s="69">
        <f>IF(YEAR(N$4)=BaseYear,'Input|Reported opex'!N57,0)</f>
        <v>0</v>
      </c>
      <c r="O15" s="69">
        <f>IF(YEAR(O$4)=BaseYear,'Input|Reported opex'!O57,0)</f>
        <v>0</v>
      </c>
      <c r="P15" s="69">
        <f>IF(YEAR(P$4)=BaseYear,'Input|Reported opex'!P57,0)</f>
        <v>0</v>
      </c>
      <c r="Q15" s="69">
        <f>IF(YEAR(Q$4)=BaseYear,'Input|Reported opex'!Q57,0)</f>
        <v>0</v>
      </c>
      <c r="R15" s="69">
        <f>IF(YEAR(R$4)=BaseYear,'Input|Reported opex'!R57,0)</f>
        <v>0</v>
      </c>
      <c r="S15" s="69">
        <f>IF(YEAR(S$4)=BaseYear,'Input|Reported opex'!S57,0)</f>
        <v>0</v>
      </c>
      <c r="T15" s="69"/>
      <c r="U15" s="8"/>
      <c r="V15" s="8"/>
      <c r="W15" s="8"/>
      <c r="X15" s="8"/>
    </row>
    <row r="16" spans="1:24" outlineLevel="1">
      <c r="A16" s="8"/>
      <c r="B16" s="8"/>
      <c r="C16" s="15" t="s">
        <v>169</v>
      </c>
      <c r="D16" s="16" t="s">
        <v>68</v>
      </c>
      <c r="E16" s="16" t="str">
        <f>$E$8</f>
        <v>$millions</v>
      </c>
      <c r="F16" s="101">
        <f>$F$8</f>
        <v>45444</v>
      </c>
      <c r="G16" s="16"/>
      <c r="H16" s="16"/>
      <c r="I16" s="16"/>
      <c r="J16" s="69">
        <f>J15*IF($F15="nominal",LOOKUP($F16,Nominal_to_Real,'Input|Rate of change'!K$26:K$32),INDEX('Input|Rate of change'!$C$14:$P$22,MATCH('Calc|Opex forecast'!$F15,'Input|Rate of change'!$C$14:$C$22,0),MATCH('Calc|Opex forecast'!$F16,'Input|Rate of change'!$C$14:$P$14,0)))*IF($E15="$millions",1000000,IF($E15="$000",1000,1))/IF($E16="$millions",1000000,IF($E16="$000",1000,1))</f>
        <v>0</v>
      </c>
      <c r="K16" s="69">
        <f>K15*IF($F15="nominal",LOOKUP($F16,Nominal_to_Real,'Input|Rate of change'!L$26:L$32),INDEX('Input|Rate of change'!$C$14:$P$22,MATCH('Calc|Opex forecast'!$F15,'Input|Rate of change'!$C$14:$C$22,0),MATCH('Calc|Opex forecast'!$F16,'Input|Rate of change'!$C$14:$P$14,0)))*IF($E15="$millions",1000000,IF($E15="$000",1000,1))/IF($E16="$millions",1000000,IF($E16="$000",1000,1))</f>
        <v>0</v>
      </c>
      <c r="L16" s="69">
        <f>L15*IF($F15="nominal",LOOKUP($F16,Nominal_to_Real,'Input|Rate of change'!M$26:M$32),INDEX('Input|Rate of change'!$C$14:$P$22,MATCH('Calc|Opex forecast'!$F15,'Input|Rate of change'!$C$14:$C$22,0),MATCH('Calc|Opex forecast'!$F16,'Input|Rate of change'!$C$14:$P$14,0)))*IF($E15="$millions",1000000,IF($E15="$000",1000,1))/IF($E16="$millions",1000000,IF($E16="$000",1000,1))</f>
        <v>0</v>
      </c>
      <c r="M16" s="69">
        <f>M15*IF($F15="nominal",LOOKUP($F16,Nominal_to_Real,'Input|Rate of change'!N$26:N$32),INDEX('Input|Rate of change'!$C$14:$P$22,MATCH('Calc|Opex forecast'!$F15,'Input|Rate of change'!$C$14:$C$22,0),MATCH('Calc|Opex forecast'!$F16,'Input|Rate of change'!$C$14:$P$14,0)))*IF($E15="$millions",1000000,IF($E15="$000",1000,1))/IF($E16="$millions",1000000,IF($E16="$000",1000,1))</f>
        <v>0</v>
      </c>
      <c r="N16" s="69">
        <f>N15*IF($F15="nominal",LOOKUP($F16,Nominal_to_Real,'Input|Rate of change'!O$26:O$32),INDEX('Input|Rate of change'!$C$14:$P$22,MATCH('Calc|Opex forecast'!$F15,'Input|Rate of change'!$C$14:$C$22,0),MATCH('Calc|Opex forecast'!$F16,'Input|Rate of change'!$C$14:$P$14,0)))*IF($E15="$millions",1000000,IF($E15="$000",1000,1))/IF($E16="$millions",1000000,IF($E16="$000",1000,1))</f>
        <v>0</v>
      </c>
      <c r="O16" s="69">
        <f>O15*IF($F15="nominal",LOOKUP($F16,Nominal_to_Real,'Input|Rate of change'!P$26:P$32),INDEX('Input|Rate of change'!$C$14:$P$22,MATCH('Calc|Opex forecast'!$F15,'Input|Rate of change'!$C$14:$C$22,0),MATCH('Calc|Opex forecast'!$F16,'Input|Rate of change'!$C$14:$P$14,0)))*IF($E15="$millions",1000000,IF($E15="$000",1000,1))/IF($E16="$millions",1000000,IF($E16="$000",1000,1))</f>
        <v>0</v>
      </c>
      <c r="P16" s="69">
        <f>P15*IF($F15="nominal",LOOKUP($F16,Nominal_to_Real,'Input|Rate of change'!Q$26:Q$32),INDEX('Input|Rate of change'!$C$14:$P$22,MATCH('Calc|Opex forecast'!$F15,'Input|Rate of change'!$C$14:$C$22,0),MATCH('Calc|Opex forecast'!$F16,'Input|Rate of change'!$C$14:$P$14,0)))*IF($E15="$millions",1000000,IF($E15="$000",1000,1))/IF($E16="$millions",1000000,IF($E16="$000",1000,1))</f>
        <v>0</v>
      </c>
      <c r="Q16" s="69">
        <f>Q15*IF($F15="nominal",LOOKUP($F16,Nominal_to_Real,'Input|Rate of change'!R$26:R$32),INDEX('Input|Rate of change'!$C$14:$P$22,MATCH('Calc|Opex forecast'!$F15,'Input|Rate of change'!$C$14:$C$22,0),MATCH('Calc|Opex forecast'!$F16,'Input|Rate of change'!$C$14:$P$14,0)))*IF($E15="$millions",1000000,IF($E15="$000",1000,1))/IF($E16="$millions",1000000,IF($E16="$000",1000,1))</f>
        <v>0</v>
      </c>
      <c r="R16" s="69">
        <f>R15*IF($F15="nominal",LOOKUP($F16,Nominal_to_Real,'Input|Rate of change'!S$26:S$32),INDEX('Input|Rate of change'!$C$14:$P$22,MATCH('Calc|Opex forecast'!$F15,'Input|Rate of change'!$C$14:$C$22,0),MATCH('Calc|Opex forecast'!$F16,'Input|Rate of change'!$C$14:$P$14,0)))*IF($E15="$millions",1000000,IF($E15="$000",1000,1))/IF($E16="$millions",1000000,IF($E16="$000",1000,1))</f>
        <v>0</v>
      </c>
      <c r="S16" s="69">
        <f>S15*IF($F15="nominal",LOOKUP($F16,Nominal_to_Real,'Input|Rate of change'!T$26:T$32),INDEX('Input|Rate of change'!$C$14:$P$22,MATCH('Calc|Opex forecast'!$F15,'Input|Rate of change'!$C$14:$C$22,0),MATCH('Calc|Opex forecast'!$F16,'Input|Rate of change'!$C$14:$P$14,0)))*IF($E15="$millions",1000000,IF($E15="$000",1000,1))/IF($E16="$millions",1000000,IF($E16="$000",1000,1))</f>
        <v>0</v>
      </c>
      <c r="T16" s="69">
        <f>T15*IF($F15="nominal",LOOKUP($F16,Nominal_to_Real,'Input|Rate of change'!U$26:U$32),INDEX('Input|Rate of change'!$C$14:$P$22,MATCH('Calc|Opex forecast'!$F15,'Input|Rate of change'!$C$14:$C$22,0),MATCH('Calc|Opex forecast'!$F16,'Input|Rate of change'!$C$14:$P$14,0)))*IF($E15="$millions",1000000,IF($E15="$000",1000,1))/IF($E16="$millions",1000000,IF($E16="$000",1000,1))</f>
        <v>0</v>
      </c>
      <c r="U16" s="8"/>
      <c r="V16" s="8"/>
      <c r="W16" s="8"/>
      <c r="X16" s="8"/>
    </row>
    <row r="17" spans="1:24" outlineLevel="1">
      <c r="A17" s="8"/>
      <c r="B17" s="8"/>
      <c r="C17" s="15"/>
      <c r="D17" s="16"/>
      <c r="E17" s="16"/>
      <c r="F17" s="70"/>
      <c r="G17" s="16"/>
      <c r="H17" s="16"/>
      <c r="I17" s="16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8"/>
      <c r="V17" s="8"/>
      <c r="W17" s="8"/>
      <c r="X17" s="8"/>
    </row>
    <row r="18" spans="1:24" ht="10.5" outlineLevel="1">
      <c r="A18" s="8"/>
      <c r="B18" s="8"/>
      <c r="C18" s="71" t="s">
        <v>170</v>
      </c>
      <c r="D18" s="72" t="s">
        <v>68</v>
      </c>
      <c r="E18" s="72" t="str">
        <f>$E$8</f>
        <v>$millions</v>
      </c>
      <c r="F18" s="101">
        <f>$F$8</f>
        <v>45444</v>
      </c>
      <c r="G18" s="16"/>
      <c r="H18" s="16"/>
      <c r="I18" s="16"/>
      <c r="J18" s="73">
        <f t="shared" ref="J18:S18" ca="1" si="1">J13</f>
        <v>0</v>
      </c>
      <c r="K18" s="73">
        <f t="shared" ca="1" si="1"/>
        <v>0</v>
      </c>
      <c r="L18" s="73">
        <f t="shared" ca="1" si="1"/>
        <v>0</v>
      </c>
      <c r="M18" s="73">
        <f t="shared" ca="1" si="1"/>
        <v>14.986735424021857</v>
      </c>
      <c r="N18" s="73">
        <f t="shared" ca="1" si="1"/>
        <v>0</v>
      </c>
      <c r="O18" s="73">
        <f t="shared" ca="1" si="1"/>
        <v>0</v>
      </c>
      <c r="P18" s="73">
        <f t="shared" ca="1" si="1"/>
        <v>0</v>
      </c>
      <c r="Q18" s="73">
        <f t="shared" ca="1" si="1"/>
        <v>0</v>
      </c>
      <c r="R18" s="73">
        <f t="shared" ca="1" si="1"/>
        <v>0</v>
      </c>
      <c r="S18" s="73">
        <f t="shared" ca="1" si="1"/>
        <v>0</v>
      </c>
      <c r="T18" s="73"/>
      <c r="U18" s="8"/>
      <c r="V18" s="8"/>
      <c r="W18" s="8"/>
      <c r="X18" s="8"/>
    </row>
    <row r="19" spans="1:24" ht="10.5" outlineLevel="1">
      <c r="A19" s="8"/>
      <c r="B19" s="8"/>
      <c r="C19" s="80"/>
      <c r="D19" s="16"/>
      <c r="E19" s="16"/>
      <c r="F19" s="101"/>
      <c r="G19" s="16"/>
      <c r="H19" s="16"/>
      <c r="I19" s="16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8"/>
      <c r="V19" s="8"/>
      <c r="W19" s="8"/>
      <c r="X19" s="8"/>
    </row>
    <row r="20" spans="1:24" ht="10.5" outlineLevel="1">
      <c r="A20" s="8"/>
      <c r="B20" s="8"/>
      <c r="C20" s="80" t="s">
        <v>171</v>
      </c>
      <c r="D20" s="16" t="s">
        <v>68</v>
      </c>
      <c r="E20" s="16" t="str">
        <f>$E$8</f>
        <v>$millions</v>
      </c>
      <c r="F20" s="101">
        <f>$F$8</f>
        <v>45444</v>
      </c>
      <c r="G20" s="16"/>
      <c r="H20" s="16"/>
      <c r="I20" s="16"/>
      <c r="J20" s="73">
        <f t="shared" ref="J20:T20" si="2">IF(YEAR(J$4)=BaseYear,-(SUM($J16:$S16)),0)</f>
        <v>0</v>
      </c>
      <c r="K20" s="73">
        <f t="shared" si="2"/>
        <v>0</v>
      </c>
      <c r="L20" s="73">
        <f t="shared" si="2"/>
        <v>0</v>
      </c>
      <c r="M20" s="73">
        <f t="shared" si="2"/>
        <v>0</v>
      </c>
      <c r="N20" s="73">
        <f t="shared" si="2"/>
        <v>0</v>
      </c>
      <c r="O20" s="73">
        <f t="shared" si="2"/>
        <v>0</v>
      </c>
      <c r="P20" s="73">
        <f t="shared" si="2"/>
        <v>0</v>
      </c>
      <c r="Q20" s="73">
        <f t="shared" si="2"/>
        <v>0</v>
      </c>
      <c r="R20" s="73">
        <f t="shared" si="2"/>
        <v>0</v>
      </c>
      <c r="S20" s="73">
        <f t="shared" si="2"/>
        <v>0</v>
      </c>
      <c r="T20" s="73">
        <f t="shared" si="2"/>
        <v>0</v>
      </c>
      <c r="U20" s="8"/>
      <c r="V20" s="8"/>
      <c r="W20" s="8"/>
      <c r="X20" s="8"/>
    </row>
    <row r="21" spans="1:24" ht="10.5" outlineLevel="1">
      <c r="A21" s="8"/>
      <c r="B21" s="8"/>
      <c r="C21" s="80"/>
      <c r="D21" s="16"/>
      <c r="E21" s="16"/>
      <c r="F21" s="101"/>
      <c r="G21" s="16"/>
      <c r="H21" s="16"/>
      <c r="I21" s="16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8"/>
      <c r="V21" s="8"/>
      <c r="W21" s="8"/>
      <c r="X21" s="8"/>
    </row>
    <row r="22" spans="1:24" ht="10.5" outlineLevel="1">
      <c r="A22" s="8"/>
      <c r="B22" s="8"/>
      <c r="C22" s="80" t="str">
        <f>'Input|Reported opex'!$C$63</f>
        <v>Capex Personnel</v>
      </c>
      <c r="D22" s="68" t="s">
        <v>168</v>
      </c>
      <c r="E22" s="16" t="str">
        <f>'Input|Reported opex'!E63</f>
        <v>$millions</v>
      </c>
      <c r="F22" s="101">
        <f>'Input|Reported opex'!F63</f>
        <v>45444</v>
      </c>
      <c r="G22" s="16"/>
      <c r="H22" s="16"/>
      <c r="I22" s="16"/>
      <c r="J22" s="69">
        <f>IF(YEAR(J$4)=BaseYear,'Input|Reported opex'!J63,0)</f>
        <v>0</v>
      </c>
      <c r="K22" s="69">
        <f>IF(YEAR(K$4)=BaseYear,'Input|Reported opex'!K63,0)</f>
        <v>0</v>
      </c>
      <c r="L22" s="69">
        <f>IF(YEAR(L$4)=BaseYear,'Input|Reported opex'!L63,0)</f>
        <v>0</v>
      </c>
      <c r="M22" s="69">
        <f>IF(YEAR(M$4)=BaseYear,'Input|Reported opex'!M63,0)</f>
        <v>0</v>
      </c>
      <c r="N22" s="69">
        <f>IF(YEAR(N$4)=BaseYear,'Input|Reported opex'!N63,0)</f>
        <v>0</v>
      </c>
      <c r="O22" s="69">
        <f>IF(YEAR(O$4)=BaseYear,'Input|Reported opex'!O63,0)</f>
        <v>0</v>
      </c>
      <c r="P22" s="69">
        <f>IF(YEAR(P$4)=BaseYear,'Input|Reported opex'!P63,0)</f>
        <v>0</v>
      </c>
      <c r="Q22" s="69">
        <f>IF(YEAR(Q$4)=BaseYear,'Input|Reported opex'!Q63,0)</f>
        <v>0</v>
      </c>
      <c r="R22" s="69">
        <f>IF(YEAR(R$4)=BaseYear,'Input|Reported opex'!R63,0)</f>
        <v>0</v>
      </c>
      <c r="S22" s="69">
        <f>IF(YEAR(S$4)=BaseYear,'Input|Reported opex'!S63,0)</f>
        <v>0</v>
      </c>
      <c r="T22" s="69">
        <f>IF(YEAR(T$4)=BaseYear,'Input|Reported opex'!T63,0)</f>
        <v>0</v>
      </c>
      <c r="U22" s="8"/>
      <c r="V22" s="8"/>
      <c r="W22" s="8"/>
      <c r="X22" s="8"/>
    </row>
    <row r="23" spans="1:24" ht="10.5" outlineLevel="1">
      <c r="A23" s="8"/>
      <c r="B23" s="8"/>
      <c r="C23" s="80" t="str">
        <f>C22</f>
        <v>Capex Personnel</v>
      </c>
      <c r="D23" s="16" t="s">
        <v>68</v>
      </c>
      <c r="E23" s="16" t="str">
        <f>$E$8</f>
        <v>$millions</v>
      </c>
      <c r="F23" s="101">
        <f>$F$8</f>
        <v>45444</v>
      </c>
      <c r="G23" s="16"/>
      <c r="H23" s="16"/>
      <c r="I23" s="16"/>
      <c r="J23" s="73">
        <f>J22*IF($F22="nominal",LOOKUP($F23,Nominal_to_Real,'Input|Rate of change'!K$26:K$32),INDEX('Input|Rate of change'!$C$14:$P$22,MATCH('Calc|Opex forecast'!$F22,'Input|Rate of change'!$C$14:$C$22,0),MATCH('Calc|Opex forecast'!$F23,'Input|Rate of change'!$C$14:$P$14,0)))*IF($E22="$millions",1000000,IF($E22="$000",1000,1))/IF($E23="$millions",1000000,IF($E23="$000",1000,1))</f>
        <v>0</v>
      </c>
      <c r="K23" s="73">
        <f>K22*IF($F22="nominal",LOOKUP($F23,Nominal_to_Real,'Input|Rate of change'!L$26:L$32),INDEX('Input|Rate of change'!$C$14:$P$22,MATCH('Calc|Opex forecast'!$F22,'Input|Rate of change'!$C$14:$C$22,0),MATCH('Calc|Opex forecast'!$F23,'Input|Rate of change'!$C$14:$P$14,0)))*IF($E22="$millions",1000000,IF($E22="$000",1000,1))/IF($E23="$millions",1000000,IF($E23="$000",1000,1))</f>
        <v>0</v>
      </c>
      <c r="L23" s="73">
        <f>L22*IF($F22="nominal",LOOKUP($F23,Nominal_to_Real,'Input|Rate of change'!M$26:M$32),INDEX('Input|Rate of change'!$C$14:$P$22,MATCH('Calc|Opex forecast'!$F22,'Input|Rate of change'!$C$14:$C$22,0),MATCH('Calc|Opex forecast'!$F23,'Input|Rate of change'!$C$14:$P$14,0)))*IF($E22="$millions",1000000,IF($E22="$000",1000,1))/IF($E23="$millions",1000000,IF($E23="$000",1000,1))</f>
        <v>0</v>
      </c>
      <c r="M23" s="73">
        <f>M22*IF($F22="nominal",LOOKUP($F23,Nominal_to_Real,'Input|Rate of change'!N$26:N$32),INDEX('Input|Rate of change'!$C$14:$P$22,MATCH('Calc|Opex forecast'!$F22,'Input|Rate of change'!$C$14:$C$22,0),MATCH('Calc|Opex forecast'!$F23,'Input|Rate of change'!$C$14:$P$14,0)))*IF($E22="$millions",1000000,IF($E22="$000",1000,1))/IF($E23="$millions",1000000,IF($E23="$000",1000,1))</f>
        <v>0</v>
      </c>
      <c r="N23" s="73">
        <f>N22*IF($F22="nominal",LOOKUP($F23,Nominal_to_Real,'Input|Rate of change'!O$26:O$32),INDEX('Input|Rate of change'!$C$14:$P$22,MATCH('Calc|Opex forecast'!$F22,'Input|Rate of change'!$C$14:$C$22,0),MATCH('Calc|Opex forecast'!$F23,'Input|Rate of change'!$C$14:$P$14,0)))*IF($E22="$millions",1000000,IF($E22="$000",1000,1))/IF($E23="$millions",1000000,IF($E23="$000",1000,1))</f>
        <v>0</v>
      </c>
      <c r="O23" s="73">
        <f>O22*IF($F22="nominal",LOOKUP($F23,Nominal_to_Real,'Input|Rate of change'!P$26:P$32),INDEX('Input|Rate of change'!$C$14:$P$22,MATCH('Calc|Opex forecast'!$F22,'Input|Rate of change'!$C$14:$C$22,0),MATCH('Calc|Opex forecast'!$F23,'Input|Rate of change'!$C$14:$P$14,0)))*IF($E22="$millions",1000000,IF($E22="$000",1000,1))/IF($E23="$millions",1000000,IF($E23="$000",1000,1))</f>
        <v>0</v>
      </c>
      <c r="P23" s="73">
        <f>P22*IF($F22="nominal",LOOKUP($F23,Nominal_to_Real,'Input|Rate of change'!Q$26:Q$32),INDEX('Input|Rate of change'!$C$14:$P$22,MATCH('Calc|Opex forecast'!$F22,'Input|Rate of change'!$C$14:$C$22,0),MATCH('Calc|Opex forecast'!$F23,'Input|Rate of change'!$C$14:$P$14,0)))*IF($E22="$millions",1000000,IF($E22="$000",1000,1))/IF($E23="$millions",1000000,IF($E23="$000",1000,1))</f>
        <v>0</v>
      </c>
      <c r="Q23" s="73">
        <f>Q22*IF($F22="nominal",LOOKUP($F23,Nominal_to_Real,'Input|Rate of change'!R$26:R$32),INDEX('Input|Rate of change'!$C$14:$P$22,MATCH('Calc|Opex forecast'!$F22,'Input|Rate of change'!$C$14:$C$22,0),MATCH('Calc|Opex forecast'!$F23,'Input|Rate of change'!$C$14:$P$14,0)))*IF($E22="$millions",1000000,IF($E22="$000",1000,1))/IF($E23="$millions",1000000,IF($E23="$000",1000,1))</f>
        <v>0</v>
      </c>
      <c r="R23" s="73">
        <f>R22*IF($F22="nominal",LOOKUP($F23,Nominal_to_Real,'Input|Rate of change'!S$26:S$32),INDEX('Input|Rate of change'!$C$14:$P$22,MATCH('Calc|Opex forecast'!$F22,'Input|Rate of change'!$C$14:$C$22,0),MATCH('Calc|Opex forecast'!$F23,'Input|Rate of change'!$C$14:$P$14,0)))*IF($E22="$millions",1000000,IF($E22="$000",1000,1))/IF($E23="$millions",1000000,IF($E23="$000",1000,1))</f>
        <v>0</v>
      </c>
      <c r="S23" s="73">
        <f>S22*IF($F22="nominal",LOOKUP($F23,Nominal_to_Real,'Input|Rate of change'!T$26:T$32),INDEX('Input|Rate of change'!$C$14:$P$22,MATCH('Calc|Opex forecast'!$F22,'Input|Rate of change'!$C$14:$C$22,0),MATCH('Calc|Opex forecast'!$F23,'Input|Rate of change'!$C$14:$P$14,0)))*IF($E22="$millions",1000000,IF($E22="$000",1000,1))/IF($E23="$millions",1000000,IF($E23="$000",1000,1))</f>
        <v>0</v>
      </c>
      <c r="T23" s="73">
        <f>T22*IF($F22="nominal",LOOKUP($F23,Nominal_to_Real,'Input|Rate of change'!U$26:U$32),INDEX('Input|Rate of change'!$C$14:$P$22,MATCH('Calc|Opex forecast'!$F22,'Input|Rate of change'!$C$14:$C$22,0),MATCH('Calc|Opex forecast'!$F23,'Input|Rate of change'!$C$14:$P$14,0)))*IF($E22="$millions",1000000,IF($E22="$000",1000,1))/IF($E23="$millions",1000000,IF($E23="$000",1000,1))</f>
        <v>0</v>
      </c>
      <c r="U23" s="8"/>
      <c r="V23" s="8"/>
      <c r="W23" s="8"/>
      <c r="X23" s="8"/>
    </row>
    <row r="24" spans="1:24" ht="10.5" outlineLevel="1">
      <c r="A24" s="8"/>
      <c r="B24" s="8"/>
      <c r="C24" s="80"/>
      <c r="D24" s="16"/>
      <c r="E24" s="16"/>
      <c r="F24" s="101"/>
      <c r="G24" s="16"/>
      <c r="H24" s="16"/>
      <c r="I24" s="16"/>
      <c r="J24" s="73"/>
      <c r="K24" s="73"/>
      <c r="L24" s="73"/>
      <c r="M24" s="73"/>
      <c r="N24" s="73"/>
      <c r="O24" s="73"/>
      <c r="P24" s="73"/>
      <c r="Q24" s="73"/>
      <c r="R24" s="69"/>
      <c r="S24" s="69"/>
      <c r="T24" s="69"/>
      <c r="U24" s="8"/>
      <c r="V24" s="8"/>
      <c r="W24" s="8"/>
      <c r="X24" s="8"/>
    </row>
    <row r="25" spans="1:24" ht="10.5" outlineLevel="1">
      <c r="A25" s="8"/>
      <c r="B25" s="8"/>
      <c r="C25" s="80" t="str">
        <f>'Input|Reported opex'!$C$64</f>
        <v>Back-pay Journal</v>
      </c>
      <c r="D25" s="68" t="s">
        <v>168</v>
      </c>
      <c r="E25" s="16" t="str">
        <f>'Input|Reported opex'!$E$64</f>
        <v>$millions</v>
      </c>
      <c r="F25" s="101">
        <f>'Input|Reported opex'!$F$64</f>
        <v>45444</v>
      </c>
      <c r="G25" s="16"/>
      <c r="H25" s="16"/>
      <c r="I25" s="16"/>
      <c r="J25" s="69">
        <f>IF(YEAR(J$4)=BaseYear,'Input|Reported opex'!J64,0)</f>
        <v>0</v>
      </c>
      <c r="K25" s="69">
        <f>IF(YEAR(K$4)=BaseYear,'Input|Reported opex'!K64,0)</f>
        <v>0</v>
      </c>
      <c r="L25" s="69">
        <f>IF(YEAR(L$4)=BaseYear,'Input|Reported opex'!L64,0)</f>
        <v>0</v>
      </c>
      <c r="M25" s="69">
        <f>IF(YEAR(M$4)=BaseYear,'Input|Reported opex'!M64,0)</f>
        <v>-0.21988328234988086</v>
      </c>
      <c r="N25" s="69">
        <f>IF(YEAR(N$4)=BaseYear,'Input|Reported opex'!N64,0)</f>
        <v>0</v>
      </c>
      <c r="O25" s="69">
        <f>IF(YEAR(O$4)=BaseYear,'Input|Reported opex'!O64,0)</f>
        <v>0</v>
      </c>
      <c r="P25" s="69">
        <f>IF(YEAR(P$4)=BaseYear,'Input|Reported opex'!P64,0)</f>
        <v>0</v>
      </c>
      <c r="Q25" s="69">
        <f>IF(YEAR(Q$4)=BaseYear,'Input|Reported opex'!Q64,0)</f>
        <v>0</v>
      </c>
      <c r="R25" s="69">
        <f>IF(YEAR(R$4)=BaseYear,'Input|Reported opex'!R64,0)</f>
        <v>0</v>
      </c>
      <c r="S25" s="69">
        <f>IF(YEAR(S$4)=BaseYear,'Input|Reported opex'!S64,0)</f>
        <v>0</v>
      </c>
      <c r="T25" s="69">
        <f>IF(YEAR(T$4)=BaseYear,'Input|Reported opex'!T64,0)</f>
        <v>0</v>
      </c>
      <c r="U25" s="8"/>
      <c r="V25" s="8"/>
      <c r="W25" s="8"/>
      <c r="X25" s="8"/>
    </row>
    <row r="26" spans="1:24" ht="10.5" outlineLevel="1">
      <c r="A26" s="8"/>
      <c r="B26" s="8"/>
      <c r="C26" s="80" t="str">
        <f>C25</f>
        <v>Back-pay Journal</v>
      </c>
      <c r="D26" s="16" t="s">
        <v>68</v>
      </c>
      <c r="E26" s="16" t="str">
        <f>$E$8</f>
        <v>$millions</v>
      </c>
      <c r="F26" s="101">
        <f>$F$8</f>
        <v>45444</v>
      </c>
      <c r="G26" s="16"/>
      <c r="H26" s="16"/>
      <c r="I26" s="16"/>
      <c r="J26" s="73">
        <f>J25*IF($F25="nominal",LOOKUP($F26,Nominal_to_Real,'Input|Rate of change'!K$26:K$32),INDEX('Input|Rate of change'!$C$14:$P$22,MATCH('Calc|Opex forecast'!$F25,'Input|Rate of change'!$C$14:$C$22,0),MATCH('Calc|Opex forecast'!$F26,'Input|Rate of change'!$C$14:$P$14,0)))*IF($E25="$millions",1000000,IF($E25="$000",1000,1))/IF($E26="$millions",1000000,IF($E26="$000",1000,1))</f>
        <v>0</v>
      </c>
      <c r="K26" s="73">
        <f>K25*IF($F25="nominal",LOOKUP($F26,Nominal_to_Real,'Input|Rate of change'!L$26:L$32),INDEX('Input|Rate of change'!$C$14:$P$22,MATCH('Calc|Opex forecast'!$F25,'Input|Rate of change'!$C$14:$C$22,0),MATCH('Calc|Opex forecast'!$F26,'Input|Rate of change'!$C$14:$P$14,0)))*IF($E25="$millions",1000000,IF($E25="$000",1000,1))/IF($E26="$millions",1000000,IF($E26="$000",1000,1))</f>
        <v>0</v>
      </c>
      <c r="L26" s="73">
        <f>L25*IF($F25="nominal",LOOKUP($F26,Nominal_to_Real,'Input|Rate of change'!M$26:M$32),INDEX('Input|Rate of change'!$C$14:$P$22,MATCH('Calc|Opex forecast'!$F25,'Input|Rate of change'!$C$14:$C$22,0),MATCH('Calc|Opex forecast'!$F26,'Input|Rate of change'!$C$14:$P$14,0)))*IF($E25="$millions",1000000,IF($E25="$000",1000,1))/IF($E26="$millions",1000000,IF($E26="$000",1000,1))</f>
        <v>0</v>
      </c>
      <c r="M26" s="73">
        <f>M25*IF($F25="nominal",LOOKUP($F26,Nominal_to_Real,'Input|Rate of change'!N$26:N$32),INDEX('Input|Rate of change'!$C$14:$P$22,MATCH('Calc|Opex forecast'!$F25,'Input|Rate of change'!$C$14:$C$22,0),MATCH('Calc|Opex forecast'!$F26,'Input|Rate of change'!$C$14:$P$14,0)))*IF($E25="$millions",1000000,IF($E25="$000",1000,1))/IF($E26="$millions",1000000,IF($E26="$000",1000,1))</f>
        <v>-0.21988328234988086</v>
      </c>
      <c r="N26" s="73">
        <f>N25*IF($F25="nominal",LOOKUP($F26,Nominal_to_Real,'Input|Rate of change'!O$26:O$32),INDEX('Input|Rate of change'!$C$14:$P$22,MATCH('Calc|Opex forecast'!$F25,'Input|Rate of change'!$C$14:$C$22,0),MATCH('Calc|Opex forecast'!$F26,'Input|Rate of change'!$C$14:$P$14,0)))*IF($E25="$millions",1000000,IF($E25="$000",1000,1))/IF($E26="$millions",1000000,IF($E26="$000",1000,1))</f>
        <v>0</v>
      </c>
      <c r="O26" s="73">
        <f>O25*IF($F25="nominal",LOOKUP($F26,Nominal_to_Real,'Input|Rate of change'!P$26:P$32),INDEX('Input|Rate of change'!$C$14:$P$22,MATCH('Calc|Opex forecast'!$F25,'Input|Rate of change'!$C$14:$C$22,0),MATCH('Calc|Opex forecast'!$F26,'Input|Rate of change'!$C$14:$P$14,0)))*IF($E25="$millions",1000000,IF($E25="$000",1000,1))/IF($E26="$millions",1000000,IF($E26="$000",1000,1))</f>
        <v>0</v>
      </c>
      <c r="P26" s="73">
        <f>P25*IF($F25="nominal",LOOKUP($F26,Nominal_to_Real,'Input|Rate of change'!Q$26:Q$32),INDEX('Input|Rate of change'!$C$14:$P$22,MATCH('Calc|Opex forecast'!$F25,'Input|Rate of change'!$C$14:$C$22,0),MATCH('Calc|Opex forecast'!$F26,'Input|Rate of change'!$C$14:$P$14,0)))*IF($E25="$millions",1000000,IF($E25="$000",1000,1))/IF($E26="$millions",1000000,IF($E26="$000",1000,1))</f>
        <v>0</v>
      </c>
      <c r="Q26" s="73">
        <f>Q25*IF($F25="nominal",LOOKUP($F26,Nominal_to_Real,'Input|Rate of change'!R$26:R$32),INDEX('Input|Rate of change'!$C$14:$P$22,MATCH('Calc|Opex forecast'!$F25,'Input|Rate of change'!$C$14:$C$22,0),MATCH('Calc|Opex forecast'!$F26,'Input|Rate of change'!$C$14:$P$14,0)))*IF($E25="$millions",1000000,IF($E25="$000",1000,1))/IF($E26="$millions",1000000,IF($E26="$000",1000,1))</f>
        <v>0</v>
      </c>
      <c r="R26" s="73">
        <f>R25*IF($F25="nominal",LOOKUP($F26,Nominal_to_Real,'Input|Rate of change'!S$26:S$32),INDEX('Input|Rate of change'!$C$14:$P$22,MATCH('Calc|Opex forecast'!$F25,'Input|Rate of change'!$C$14:$C$22,0),MATCH('Calc|Opex forecast'!$F26,'Input|Rate of change'!$C$14:$P$14,0)))*IF($E25="$millions",1000000,IF($E25="$000",1000,1))/IF($E26="$millions",1000000,IF($E26="$000",1000,1))</f>
        <v>0</v>
      </c>
      <c r="S26" s="73">
        <f>S25*IF($F25="nominal",LOOKUP($F26,Nominal_to_Real,'Input|Rate of change'!T$26:T$32),INDEX('Input|Rate of change'!$C$14:$P$22,MATCH('Calc|Opex forecast'!$F25,'Input|Rate of change'!$C$14:$C$22,0),MATCH('Calc|Opex forecast'!$F26,'Input|Rate of change'!$C$14:$P$14,0)))*IF($E25="$millions",1000000,IF($E25="$000",1000,1))/IF($E26="$millions",1000000,IF($E26="$000",1000,1))</f>
        <v>0</v>
      </c>
      <c r="T26" s="73">
        <f>T25*IF($F25="nominal",LOOKUP($F26,Nominal_to_Real,'Input|Rate of change'!U$26:U$32),INDEX('Input|Rate of change'!$C$14:$P$22,MATCH('Calc|Opex forecast'!$F25,'Input|Rate of change'!$C$14:$C$22,0),MATCH('Calc|Opex forecast'!$F26,'Input|Rate of change'!$C$14:$P$14,0)))*IF($E25="$millions",1000000,IF($E25="$000",1000,1))/IF($E26="$millions",1000000,IF($E26="$000",1000,1))</f>
        <v>0</v>
      </c>
      <c r="U26" s="8"/>
      <c r="V26" s="8"/>
      <c r="W26" s="8"/>
      <c r="X26" s="8"/>
    </row>
    <row r="27" spans="1:24" ht="10.5" outlineLevel="1">
      <c r="A27" s="8"/>
      <c r="B27" s="8"/>
      <c r="C27" s="80"/>
      <c r="D27" s="16"/>
      <c r="E27" s="16"/>
      <c r="F27" s="101"/>
      <c r="G27" s="16"/>
      <c r="H27" s="16"/>
      <c r="I27" s="16"/>
      <c r="J27" s="73"/>
      <c r="K27" s="73"/>
      <c r="L27" s="73"/>
      <c r="M27" s="73"/>
      <c r="N27" s="73"/>
      <c r="O27" s="73"/>
      <c r="P27" s="73"/>
      <c r="Q27" s="73"/>
      <c r="R27" s="69"/>
      <c r="S27" s="69"/>
      <c r="T27" s="69"/>
      <c r="U27" s="8"/>
      <c r="V27" s="8"/>
      <c r="W27" s="8"/>
      <c r="X27" s="8"/>
    </row>
    <row r="28" spans="1:24" ht="10.5" outlineLevel="1">
      <c r="A28" s="8"/>
      <c r="B28" s="8"/>
      <c r="C28" s="80" t="str">
        <f>'Input|Reported opex'!$C$65</f>
        <v>Adjustments for one-off expenditure</v>
      </c>
      <c r="D28" s="68" t="s">
        <v>168</v>
      </c>
      <c r="E28" s="16" t="str">
        <f>'Input|Reported opex'!$E$65</f>
        <v>$millions</v>
      </c>
      <c r="F28" s="101">
        <f>'Input|Reported opex'!$F$65</f>
        <v>45444</v>
      </c>
      <c r="G28" s="16"/>
      <c r="H28" s="16"/>
      <c r="I28" s="16"/>
      <c r="J28" s="69">
        <f>IF(YEAR(J$4)=BaseYear,'Input|Reported opex'!J65,0)</f>
        <v>0</v>
      </c>
      <c r="K28" s="69">
        <f>IF(YEAR(K$4)=BaseYear,'Input|Reported opex'!K65,0)</f>
        <v>0</v>
      </c>
      <c r="L28" s="69">
        <f>IF(YEAR(L$4)=BaseYear,'Input|Reported opex'!L65,0)</f>
        <v>0</v>
      </c>
      <c r="M28" s="69">
        <f>IF(YEAR(M$4)=BaseYear,'Input|Reported opex'!M65,0)</f>
        <v>-0.61098512604133492</v>
      </c>
      <c r="N28" s="69">
        <f>IF(YEAR(N$4)=BaseYear,'Input|Reported opex'!N65,0)</f>
        <v>0</v>
      </c>
      <c r="O28" s="69">
        <f>IF(YEAR(O$4)=BaseYear,'Input|Reported opex'!O65,0)</f>
        <v>0</v>
      </c>
      <c r="P28" s="69">
        <f>IF(YEAR(P$4)=BaseYear,'Input|Reported opex'!P65,0)</f>
        <v>0</v>
      </c>
      <c r="Q28" s="69">
        <f>IF(YEAR(Q$4)=BaseYear,'Input|Reported opex'!Q65,0)</f>
        <v>0</v>
      </c>
      <c r="R28" s="69">
        <f>IF(YEAR(R$4)=BaseYear,'Input|Reported opex'!R65,0)</f>
        <v>0</v>
      </c>
      <c r="S28" s="69">
        <f>IF(YEAR(S$4)=BaseYear,'Input|Reported opex'!S65,0)</f>
        <v>0</v>
      </c>
      <c r="T28" s="69">
        <f>IF(YEAR(T$4)=BaseYear,'Input|Reported opex'!T65,0)</f>
        <v>0</v>
      </c>
      <c r="U28" s="8"/>
      <c r="V28" s="8"/>
      <c r="W28" s="8"/>
      <c r="X28" s="8"/>
    </row>
    <row r="29" spans="1:24" ht="10.5" outlineLevel="1">
      <c r="A29" s="8"/>
      <c r="B29" s="8"/>
      <c r="C29" s="80" t="str">
        <f>C28</f>
        <v>Adjustments for one-off expenditure</v>
      </c>
      <c r="D29" s="16" t="s">
        <v>68</v>
      </c>
      <c r="E29" s="16" t="str">
        <f>$E$8</f>
        <v>$millions</v>
      </c>
      <c r="F29" s="101">
        <f>$F$8</f>
        <v>45444</v>
      </c>
      <c r="G29" s="16"/>
      <c r="H29" s="16"/>
      <c r="I29" s="16"/>
      <c r="J29" s="73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3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3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3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-0.61098512604133492</v>
      </c>
      <c r="N29" s="73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3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3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3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3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3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3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U29" s="8"/>
      <c r="V29" s="8"/>
      <c r="W29" s="8"/>
      <c r="X29" s="8"/>
    </row>
    <row r="30" spans="1:24" ht="10.5" outlineLevel="1">
      <c r="A30" s="8"/>
      <c r="B30" s="8"/>
      <c r="C30" s="80"/>
      <c r="D30" s="16"/>
      <c r="E30" s="16"/>
      <c r="F30" s="101"/>
      <c r="G30" s="16"/>
      <c r="H30" s="16"/>
      <c r="I30" s="16"/>
      <c r="J30" s="73"/>
      <c r="K30" s="73"/>
      <c r="L30" s="73"/>
      <c r="M30" s="73"/>
      <c r="N30" s="73"/>
      <c r="O30" s="73"/>
      <c r="P30" s="73"/>
      <c r="Q30" s="73"/>
      <c r="R30" s="69"/>
      <c r="S30" s="69"/>
      <c r="T30" s="69"/>
      <c r="U30" s="8"/>
      <c r="V30" s="8"/>
      <c r="W30" s="8"/>
      <c r="X30" s="8"/>
    </row>
    <row r="31" spans="1:24" ht="10.5" outlineLevel="1">
      <c r="A31" s="8"/>
      <c r="B31" s="8"/>
      <c r="C31" s="80" t="str">
        <f>'Input|Reported opex'!$C$66</f>
        <v>Personnel Activity Reallocation</v>
      </c>
      <c r="D31" s="68" t="s">
        <v>168</v>
      </c>
      <c r="E31" s="16" t="str">
        <f>'Input|Reported opex'!$E$66</f>
        <v>$millions</v>
      </c>
      <c r="F31" s="101">
        <f>'Input|Reported opex'!$F$66</f>
        <v>45444</v>
      </c>
      <c r="G31" s="16"/>
      <c r="H31" s="16"/>
      <c r="I31" s="16"/>
      <c r="J31" s="69">
        <f>IF(YEAR(J$4)=BaseYear,'Input|Reported opex'!J66,0)</f>
        <v>0</v>
      </c>
      <c r="K31" s="69">
        <f>IF(YEAR(K$4)=BaseYear,'Input|Reported opex'!K66,0)</f>
        <v>0</v>
      </c>
      <c r="L31" s="69">
        <f>IF(YEAR(L$4)=BaseYear,'Input|Reported opex'!L66,0)</f>
        <v>0</v>
      </c>
      <c r="M31" s="69">
        <f>IF(YEAR(M$4)=BaseYear,'Input|Reported opex'!M66,0)</f>
        <v>0</v>
      </c>
      <c r="N31" s="69">
        <f>IF(YEAR(N$4)=BaseYear,'Input|Reported opex'!N66,0)</f>
        <v>0</v>
      </c>
      <c r="O31" s="69">
        <f>IF(YEAR(O$4)=BaseYear,'Input|Reported opex'!O66,0)</f>
        <v>0</v>
      </c>
      <c r="P31" s="69">
        <f>IF(YEAR(P$4)=BaseYear,'Input|Reported opex'!P66,0)</f>
        <v>0</v>
      </c>
      <c r="Q31" s="69">
        <f>IF(YEAR(Q$4)=BaseYear,'Input|Reported opex'!Q66,0)</f>
        <v>0</v>
      </c>
      <c r="R31" s="69">
        <f>IF(YEAR(R$4)=BaseYear,'Input|Reported opex'!R66,0)</f>
        <v>0</v>
      </c>
      <c r="S31" s="69">
        <f>IF(YEAR(S$4)=BaseYear,'Input|Reported opex'!S66,0)</f>
        <v>0</v>
      </c>
      <c r="T31" s="69">
        <f>IF(YEAR(T$4)=BaseYear,'Input|Reported opex'!T66,0)</f>
        <v>0</v>
      </c>
      <c r="U31" s="8"/>
      <c r="V31" s="8"/>
      <c r="W31" s="8"/>
      <c r="X31" s="8"/>
    </row>
    <row r="32" spans="1:24" ht="10.5" outlineLevel="1">
      <c r="A32" s="8"/>
      <c r="B32" s="8"/>
      <c r="C32" s="80" t="str">
        <f>C31</f>
        <v>Personnel Activity Reallocation</v>
      </c>
      <c r="D32" s="16" t="s">
        <v>68</v>
      </c>
      <c r="E32" s="16" t="str">
        <f>$E$8</f>
        <v>$millions</v>
      </c>
      <c r="F32" s="101">
        <f>$F$8</f>
        <v>45444</v>
      </c>
      <c r="G32" s="16"/>
      <c r="H32" s="16"/>
      <c r="I32" s="16"/>
      <c r="J32" s="73">
        <f>J31*IF($F31="nominal",LOOKUP($F32,Nominal_to_Real,'Input|Rate of change'!K$26:K$32),INDEX('Input|Rate of change'!$C$14:$P$22,MATCH('Calc|Opex forecast'!$F31,'Input|Rate of change'!$C$14:$C$22,0),MATCH('Calc|Opex forecast'!$F32,'Input|Rate of change'!$C$14:$P$14,0)))*IF($E31="$millions",1000000,IF($E31="$000",1000,1))/IF($E32="$millions",1000000,IF($E32="$000",1000,1))</f>
        <v>0</v>
      </c>
      <c r="K32" s="73">
        <f>K31*IF($F31="nominal",LOOKUP($F32,Nominal_to_Real,'Input|Rate of change'!L$26:L$32),INDEX('Input|Rate of change'!$C$14:$P$22,MATCH('Calc|Opex forecast'!$F31,'Input|Rate of change'!$C$14:$C$22,0),MATCH('Calc|Opex forecast'!$F32,'Input|Rate of change'!$C$14:$P$14,0)))*IF($E31="$millions",1000000,IF($E31="$000",1000,1))/IF($E32="$millions",1000000,IF($E32="$000",1000,1))</f>
        <v>0</v>
      </c>
      <c r="L32" s="73">
        <f>L31*IF($F31="nominal",LOOKUP($F32,Nominal_to_Real,'Input|Rate of change'!M$26:M$32),INDEX('Input|Rate of change'!$C$14:$P$22,MATCH('Calc|Opex forecast'!$F31,'Input|Rate of change'!$C$14:$C$22,0),MATCH('Calc|Opex forecast'!$F32,'Input|Rate of change'!$C$14:$P$14,0)))*IF($E31="$millions",1000000,IF($E31="$000",1000,1))/IF($E32="$millions",1000000,IF($E32="$000",1000,1))</f>
        <v>0</v>
      </c>
      <c r="M32" s="73">
        <f>M31*IF($F31="nominal",LOOKUP($F32,Nominal_to_Real,'Input|Rate of change'!N$26:N$32),INDEX('Input|Rate of change'!$C$14:$P$22,MATCH('Calc|Opex forecast'!$F31,'Input|Rate of change'!$C$14:$C$22,0),MATCH('Calc|Opex forecast'!$F32,'Input|Rate of change'!$C$14:$P$14,0)))*IF($E31="$millions",1000000,IF($E31="$000",1000,1))/IF($E32="$millions",1000000,IF($E32="$000",1000,1))</f>
        <v>0</v>
      </c>
      <c r="N32" s="73">
        <f>N31*IF($F31="nominal",LOOKUP($F32,Nominal_to_Real,'Input|Rate of change'!O$26:O$32),INDEX('Input|Rate of change'!$C$14:$P$22,MATCH('Calc|Opex forecast'!$F31,'Input|Rate of change'!$C$14:$C$22,0),MATCH('Calc|Opex forecast'!$F32,'Input|Rate of change'!$C$14:$P$14,0)))*IF($E31="$millions",1000000,IF($E31="$000",1000,1))/IF($E32="$millions",1000000,IF($E32="$000",1000,1))</f>
        <v>0</v>
      </c>
      <c r="O32" s="73">
        <f>O31*IF($F31="nominal",LOOKUP($F32,Nominal_to_Real,'Input|Rate of change'!P$26:P$32),INDEX('Input|Rate of change'!$C$14:$P$22,MATCH('Calc|Opex forecast'!$F31,'Input|Rate of change'!$C$14:$C$22,0),MATCH('Calc|Opex forecast'!$F32,'Input|Rate of change'!$C$14:$P$14,0)))*IF($E31="$millions",1000000,IF($E31="$000",1000,1))/IF($E32="$millions",1000000,IF($E32="$000",1000,1))</f>
        <v>0</v>
      </c>
      <c r="P32" s="73">
        <f>P31*IF($F31="nominal",LOOKUP($F32,Nominal_to_Real,'Input|Rate of change'!Q$26:Q$32),INDEX('Input|Rate of change'!$C$14:$P$22,MATCH('Calc|Opex forecast'!$F31,'Input|Rate of change'!$C$14:$C$22,0),MATCH('Calc|Opex forecast'!$F32,'Input|Rate of change'!$C$14:$P$14,0)))*IF($E31="$millions",1000000,IF($E31="$000",1000,1))/IF($E32="$millions",1000000,IF($E32="$000",1000,1))</f>
        <v>0</v>
      </c>
      <c r="Q32" s="73">
        <f>Q31*IF($F31="nominal",LOOKUP($F32,Nominal_to_Real,'Input|Rate of change'!R$26:R$32),INDEX('Input|Rate of change'!$C$14:$P$22,MATCH('Calc|Opex forecast'!$F31,'Input|Rate of change'!$C$14:$C$22,0),MATCH('Calc|Opex forecast'!$F32,'Input|Rate of change'!$C$14:$P$14,0)))*IF($E31="$millions",1000000,IF($E31="$000",1000,1))/IF($E32="$millions",1000000,IF($E32="$000",1000,1))</f>
        <v>0</v>
      </c>
      <c r="R32" s="73">
        <f>R31*IF($F31="nominal",LOOKUP($F32,Nominal_to_Real,'Input|Rate of change'!S$26:S$32),INDEX('Input|Rate of change'!$C$14:$P$22,MATCH('Calc|Opex forecast'!$F31,'Input|Rate of change'!$C$14:$C$22,0),MATCH('Calc|Opex forecast'!$F32,'Input|Rate of change'!$C$14:$P$14,0)))*IF($E31="$millions",1000000,IF($E31="$000",1000,1))/IF($E32="$millions",1000000,IF($E32="$000",1000,1))</f>
        <v>0</v>
      </c>
      <c r="S32" s="73">
        <f>S31*IF($F31="nominal",LOOKUP($F32,Nominal_to_Real,'Input|Rate of change'!T$26:T$32),INDEX('Input|Rate of change'!$C$14:$P$22,MATCH('Calc|Opex forecast'!$F31,'Input|Rate of change'!$C$14:$C$22,0),MATCH('Calc|Opex forecast'!$F32,'Input|Rate of change'!$C$14:$P$14,0)))*IF($E31="$millions",1000000,IF($E31="$000",1000,1))/IF($E32="$millions",1000000,IF($E32="$000",1000,1))</f>
        <v>0</v>
      </c>
      <c r="T32" s="73">
        <f>T31*IF($F31="nominal",LOOKUP($F32,Nominal_to_Real,'Input|Rate of change'!U$26:U$32),INDEX('Input|Rate of change'!$C$14:$P$22,MATCH('Calc|Opex forecast'!$F31,'Input|Rate of change'!$C$14:$C$22,0),MATCH('Calc|Opex forecast'!$F32,'Input|Rate of change'!$C$14:$P$14,0)))*IF($E31="$millions",1000000,IF($E31="$000",1000,1))/IF($E32="$millions",1000000,IF($E32="$000",1000,1))</f>
        <v>0</v>
      </c>
      <c r="U32" s="8"/>
      <c r="V32" s="8"/>
      <c r="W32" s="8"/>
      <c r="X32" s="8"/>
    </row>
    <row r="33" spans="1:24" ht="10.5" outlineLevel="1">
      <c r="A33" s="8"/>
      <c r="B33" s="8"/>
      <c r="C33" s="80"/>
      <c r="D33" s="16"/>
      <c r="E33" s="16"/>
      <c r="F33" s="101"/>
      <c r="G33" s="16"/>
      <c r="H33" s="16"/>
      <c r="I33" s="16"/>
      <c r="J33" s="73"/>
      <c r="K33" s="73"/>
      <c r="L33" s="73"/>
      <c r="M33" s="73"/>
      <c r="N33" s="73"/>
      <c r="O33" s="73"/>
      <c r="P33" s="73"/>
      <c r="Q33" s="73"/>
      <c r="R33" s="69"/>
      <c r="S33" s="69"/>
      <c r="T33" s="69"/>
      <c r="U33" s="8"/>
      <c r="V33" s="8"/>
      <c r="W33" s="8"/>
      <c r="X33" s="8"/>
    </row>
    <row r="34" spans="1:24" ht="10.5" outlineLevel="1">
      <c r="A34" s="8"/>
      <c r="B34" s="8"/>
      <c r="C34" s="80" t="str">
        <f>'Input|Reported opex'!$C$67</f>
        <v>Removal of Corporate Overheads</v>
      </c>
      <c r="D34" s="68" t="s">
        <v>168</v>
      </c>
      <c r="E34" s="16" t="str">
        <f>'Input|Reported opex'!$E$67</f>
        <v>$millions</v>
      </c>
      <c r="F34" s="101">
        <f>'Input|Reported opex'!$F$67</f>
        <v>45444</v>
      </c>
      <c r="G34" s="16"/>
      <c r="H34" s="16"/>
      <c r="I34" s="16"/>
      <c r="J34" s="69">
        <f>IF(YEAR(J$4)=BaseYear,'Input|Reported opex'!J67,0)</f>
        <v>0</v>
      </c>
      <c r="K34" s="69">
        <f>IF(YEAR(K$4)=BaseYear,'Input|Reported opex'!K67,0)</f>
        <v>0</v>
      </c>
      <c r="L34" s="69">
        <f>IF(YEAR(L$4)=BaseYear,'Input|Reported opex'!L67,0)</f>
        <v>0</v>
      </c>
      <c r="M34" s="69">
        <f>IF(YEAR(M$4)=BaseYear,'Input|Reported opex'!M67,0)</f>
        <v>-3.7395134489951105</v>
      </c>
      <c r="N34" s="69">
        <f>IF(YEAR(N$4)=BaseYear,'Input|Reported opex'!N67,0)</f>
        <v>0</v>
      </c>
      <c r="O34" s="69">
        <f>IF(YEAR(O$4)=BaseYear,'Input|Reported opex'!O67,0)</f>
        <v>0</v>
      </c>
      <c r="P34" s="69">
        <f>IF(YEAR(P$4)=BaseYear,'Input|Reported opex'!P67,0)</f>
        <v>0</v>
      </c>
      <c r="Q34" s="69">
        <f>IF(YEAR(Q$4)=BaseYear,'Input|Reported opex'!Q67,0)</f>
        <v>0</v>
      </c>
      <c r="R34" s="69">
        <f>IF(YEAR(R$4)=BaseYear,'Input|Reported opex'!R67,0)</f>
        <v>0</v>
      </c>
      <c r="S34" s="69">
        <f>IF(YEAR(S$4)=BaseYear,'Input|Reported opex'!S67,0)</f>
        <v>0</v>
      </c>
      <c r="T34" s="69">
        <f>IF(YEAR(T$4)=BaseYear,'Input|Reported opex'!T67,0)</f>
        <v>0</v>
      </c>
      <c r="U34" s="8"/>
      <c r="V34" s="8"/>
      <c r="W34" s="8"/>
      <c r="X34" s="8"/>
    </row>
    <row r="35" spans="1:24" ht="10.5" outlineLevel="1">
      <c r="A35" s="8"/>
      <c r="B35" s="8"/>
      <c r="C35" s="80" t="str">
        <f>C34</f>
        <v>Removal of Corporate Overheads</v>
      </c>
      <c r="D35" s="16" t="s">
        <v>68</v>
      </c>
      <c r="E35" s="16" t="str">
        <f>$E$8</f>
        <v>$millions</v>
      </c>
      <c r="F35" s="101">
        <f>$F$8</f>
        <v>45444</v>
      </c>
      <c r="G35" s="16"/>
      <c r="H35" s="16"/>
      <c r="I35" s="16"/>
      <c r="J35" s="73">
        <f>J34*IF($F34="nominal",LOOKUP($F35,Nominal_to_Real,'Input|Rate of change'!K$26:K$32),INDEX('Input|Rate of change'!$C$14:$P$22,MATCH('Calc|Opex forecast'!$F34,'Input|Rate of change'!$C$14:$C$22,0),MATCH('Calc|Opex forecast'!$F35,'Input|Rate of change'!$C$14:$P$14,0)))*IF($E34="$millions",1000000,IF($E34="$000",1000,1))/IF($E35="$millions",1000000,IF($E35="$000",1000,1))</f>
        <v>0</v>
      </c>
      <c r="K35" s="73">
        <f>K34*IF($F34="nominal",LOOKUP($F35,Nominal_to_Real,'Input|Rate of change'!L$26:L$32),INDEX('Input|Rate of change'!$C$14:$P$22,MATCH('Calc|Opex forecast'!$F34,'Input|Rate of change'!$C$14:$C$22,0),MATCH('Calc|Opex forecast'!$F35,'Input|Rate of change'!$C$14:$P$14,0)))*IF($E34="$millions",1000000,IF($E34="$000",1000,1))/IF($E35="$millions",1000000,IF($E35="$000",1000,1))</f>
        <v>0</v>
      </c>
      <c r="L35" s="73">
        <f>L34*IF($F34="nominal",LOOKUP($F35,Nominal_to_Real,'Input|Rate of change'!M$26:M$32),INDEX('Input|Rate of change'!$C$14:$P$22,MATCH('Calc|Opex forecast'!$F34,'Input|Rate of change'!$C$14:$C$22,0),MATCH('Calc|Opex forecast'!$F35,'Input|Rate of change'!$C$14:$P$14,0)))*IF($E34="$millions",1000000,IF($E34="$000",1000,1))/IF($E35="$millions",1000000,IF($E35="$000",1000,1))</f>
        <v>0</v>
      </c>
      <c r="M35" s="73">
        <f>M34*IF($F34="nominal",LOOKUP($F35,Nominal_to_Real,'Input|Rate of change'!N$26:N$32),INDEX('Input|Rate of change'!$C$14:$P$22,MATCH('Calc|Opex forecast'!$F34,'Input|Rate of change'!$C$14:$C$22,0),MATCH('Calc|Opex forecast'!$F35,'Input|Rate of change'!$C$14:$P$14,0)))*IF($E34="$millions",1000000,IF($E34="$000",1000,1))/IF($E35="$millions",1000000,IF($E35="$000",1000,1))</f>
        <v>-3.7395134489951105</v>
      </c>
      <c r="N35" s="73">
        <f>N34*IF($F34="nominal",LOOKUP($F35,Nominal_to_Real,'Input|Rate of change'!O$26:O$32),INDEX('Input|Rate of change'!$C$14:$P$22,MATCH('Calc|Opex forecast'!$F34,'Input|Rate of change'!$C$14:$C$22,0),MATCH('Calc|Opex forecast'!$F35,'Input|Rate of change'!$C$14:$P$14,0)))*IF($E34="$millions",1000000,IF($E34="$000",1000,1))/IF($E35="$millions",1000000,IF($E35="$000",1000,1))</f>
        <v>0</v>
      </c>
      <c r="O35" s="73">
        <f>O34*IF($F34="nominal",LOOKUP($F35,Nominal_to_Real,'Input|Rate of change'!P$26:P$32),INDEX('Input|Rate of change'!$C$14:$P$22,MATCH('Calc|Opex forecast'!$F34,'Input|Rate of change'!$C$14:$C$22,0),MATCH('Calc|Opex forecast'!$F35,'Input|Rate of change'!$C$14:$P$14,0)))*IF($E34="$millions",1000000,IF($E34="$000",1000,1))/IF($E35="$millions",1000000,IF($E35="$000",1000,1))</f>
        <v>0</v>
      </c>
      <c r="P35" s="73">
        <f>P34*IF($F34="nominal",LOOKUP($F35,Nominal_to_Real,'Input|Rate of change'!Q$26:Q$32),INDEX('Input|Rate of change'!$C$14:$P$22,MATCH('Calc|Opex forecast'!$F34,'Input|Rate of change'!$C$14:$C$22,0),MATCH('Calc|Opex forecast'!$F35,'Input|Rate of change'!$C$14:$P$14,0)))*IF($E34="$millions",1000000,IF($E34="$000",1000,1))/IF($E35="$millions",1000000,IF($E35="$000",1000,1))</f>
        <v>0</v>
      </c>
      <c r="Q35" s="73">
        <f>Q34*IF($F34="nominal",LOOKUP($F35,Nominal_to_Real,'Input|Rate of change'!R$26:R$32),INDEX('Input|Rate of change'!$C$14:$P$22,MATCH('Calc|Opex forecast'!$F34,'Input|Rate of change'!$C$14:$C$22,0),MATCH('Calc|Opex forecast'!$F35,'Input|Rate of change'!$C$14:$P$14,0)))*IF($E34="$millions",1000000,IF($E34="$000",1000,1))/IF($E35="$millions",1000000,IF($E35="$000",1000,1))</f>
        <v>0</v>
      </c>
      <c r="R35" s="73">
        <f>R34*IF($F34="nominal",LOOKUP($F35,Nominal_to_Real,'Input|Rate of change'!S$26:S$32),INDEX('Input|Rate of change'!$C$14:$P$22,MATCH('Calc|Opex forecast'!$F34,'Input|Rate of change'!$C$14:$C$22,0),MATCH('Calc|Opex forecast'!$F35,'Input|Rate of change'!$C$14:$P$14,0)))*IF($E34="$millions",1000000,IF($E34="$000",1000,1))/IF($E35="$millions",1000000,IF($E35="$000",1000,1))</f>
        <v>0</v>
      </c>
      <c r="S35" s="73">
        <f>S34*IF($F34="nominal",LOOKUP($F35,Nominal_to_Real,'Input|Rate of change'!T$26:T$32),INDEX('Input|Rate of change'!$C$14:$P$22,MATCH('Calc|Opex forecast'!$F34,'Input|Rate of change'!$C$14:$C$22,0),MATCH('Calc|Opex forecast'!$F35,'Input|Rate of change'!$C$14:$P$14,0)))*IF($E34="$millions",1000000,IF($E34="$000",1000,1))/IF($E35="$millions",1000000,IF($E35="$000",1000,1))</f>
        <v>0</v>
      </c>
      <c r="T35" s="73">
        <f>T34*IF($F34="nominal",LOOKUP($F35,Nominal_to_Real,'Input|Rate of change'!U$26:U$32),INDEX('Input|Rate of change'!$C$14:$P$22,MATCH('Calc|Opex forecast'!$F34,'Input|Rate of change'!$C$14:$C$22,0),MATCH('Calc|Opex forecast'!$F35,'Input|Rate of change'!$C$14:$P$14,0)))*IF($E34="$millions",1000000,IF($E34="$000",1000,1))/IF($E35="$millions",1000000,IF($E35="$000",1000,1))</f>
        <v>0</v>
      </c>
      <c r="U35" s="8"/>
      <c r="V35" s="8"/>
      <c r="W35" s="8"/>
      <c r="X35" s="8"/>
    </row>
    <row r="36" spans="1:24" ht="10.5" outlineLevel="1">
      <c r="A36" s="8"/>
      <c r="B36" s="8"/>
      <c r="C36" s="80"/>
      <c r="D36" s="16"/>
      <c r="E36" s="16"/>
      <c r="F36" s="101"/>
      <c r="G36" s="16"/>
      <c r="H36" s="16"/>
      <c r="I36" s="16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8"/>
      <c r="V36" s="8"/>
      <c r="W36" s="8"/>
      <c r="X36" s="8"/>
    </row>
    <row r="37" spans="1:24" ht="10.5" outlineLevel="1">
      <c r="A37" s="8"/>
      <c r="B37" s="8"/>
      <c r="C37" s="80" t="s">
        <v>123</v>
      </c>
      <c r="D37" s="16" t="s">
        <v>126</v>
      </c>
      <c r="E37" s="16" t="str">
        <f>$E$8</f>
        <v>$millions</v>
      </c>
      <c r="F37" s="101">
        <f>$F$8</f>
        <v>45444</v>
      </c>
      <c r="G37" s="16"/>
      <c r="H37" s="16"/>
      <c r="I37" s="16"/>
      <c r="J37" s="73">
        <f ca="1">SUM(J18,J23,J26,J29,J32,J35)*'Input|Reported opex'!J71</f>
        <v>0</v>
      </c>
      <c r="K37" s="73">
        <f ca="1">SUM(K18,K23,K26,K29,K32,K35)*'Input|Reported opex'!K71</f>
        <v>0</v>
      </c>
      <c r="L37" s="73">
        <f ca="1">SUM(L18,L23,L26,L29,L32,L35)*'Input|Reported opex'!L71</f>
        <v>0</v>
      </c>
      <c r="M37" s="73">
        <f ca="1">SUM(M18,M23,M26,M29,M32,M35)*'Input|Reported opex'!M71</f>
        <v>0</v>
      </c>
      <c r="N37" s="73">
        <f ca="1">SUM(N18,N23,N26,N29,N32,N35)*'Input|Reported opex'!N71</f>
        <v>0</v>
      </c>
      <c r="O37" s="73">
        <f ca="1">SUM(O18,O23,O26,O29,O32,O35)*'Input|Reported opex'!O71</f>
        <v>0</v>
      </c>
      <c r="P37" s="73">
        <f ca="1">SUM(P18,P23,P26,P29,P32,P35)*'Input|Reported opex'!P71</f>
        <v>0</v>
      </c>
      <c r="Q37" s="73">
        <f ca="1">SUM(Q18,Q23,Q26,Q29,Q32,Q35)*'Input|Reported opex'!Q71</f>
        <v>0</v>
      </c>
      <c r="R37" s="73">
        <f ca="1">SUM(R18,R23,R26,R29,R32,R35)*'Input|Reported opex'!R71</f>
        <v>0</v>
      </c>
      <c r="S37" s="73">
        <f ca="1">SUM(S18,S23,S26,S29,S32,S35)*'Input|Reported opex'!S71</f>
        <v>0</v>
      </c>
      <c r="T37" s="73"/>
      <c r="U37" s="8"/>
      <c r="V37" s="8"/>
      <c r="W37" s="8"/>
      <c r="X37" s="8"/>
    </row>
    <row r="38" spans="1:24" ht="10.5" outlineLevel="1">
      <c r="A38" s="8"/>
      <c r="B38" s="8"/>
      <c r="C38" s="80"/>
      <c r="D38" s="16"/>
      <c r="E38" s="16"/>
      <c r="F38" s="101"/>
      <c r="G38" s="16"/>
      <c r="H38" s="16"/>
      <c r="I38" s="16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8"/>
      <c r="V38" s="8"/>
      <c r="W38" s="8"/>
      <c r="X38" s="8"/>
    </row>
    <row r="39" spans="1:24" ht="10.5" outlineLevel="1">
      <c r="A39" s="8"/>
      <c r="B39" s="8"/>
      <c r="C39" s="106" t="s">
        <v>172</v>
      </c>
      <c r="D39" s="70" t="s">
        <v>126</v>
      </c>
      <c r="E39" s="70" t="str">
        <f>$E$8</f>
        <v>$millions</v>
      </c>
      <c r="F39" s="107">
        <f>$F$8</f>
        <v>45444</v>
      </c>
      <c r="G39" s="16"/>
      <c r="H39" s="16"/>
      <c r="I39" s="16"/>
      <c r="J39" s="73">
        <f t="shared" ref="J39:S39" ca="1" si="3">SUM(J18,J20,J23,J26,J29,J32,J35,J37)</f>
        <v>0</v>
      </c>
      <c r="K39" s="73">
        <f t="shared" ca="1" si="3"/>
        <v>0</v>
      </c>
      <c r="L39" s="73">
        <f t="shared" ca="1" si="3"/>
        <v>0</v>
      </c>
      <c r="M39" s="73">
        <f t="shared" ca="1" si="3"/>
        <v>10.41635356663553</v>
      </c>
      <c r="N39" s="73">
        <f t="shared" ca="1" si="3"/>
        <v>0</v>
      </c>
      <c r="O39" s="73">
        <f t="shared" ca="1" si="3"/>
        <v>0</v>
      </c>
      <c r="P39" s="73">
        <f t="shared" ca="1" si="3"/>
        <v>0</v>
      </c>
      <c r="Q39" s="73">
        <f t="shared" ca="1" si="3"/>
        <v>0</v>
      </c>
      <c r="R39" s="73">
        <f t="shared" ca="1" si="3"/>
        <v>0</v>
      </c>
      <c r="S39" s="73">
        <f t="shared" ca="1" si="3"/>
        <v>0</v>
      </c>
      <c r="T39" s="73"/>
      <c r="U39" s="8"/>
      <c r="V39" s="8"/>
      <c r="W39" s="8"/>
      <c r="X39" s="8"/>
    </row>
    <row r="40" spans="1:24">
      <c r="A40" s="8"/>
      <c r="B40" s="8"/>
      <c r="C40" s="8"/>
      <c r="D40" s="16"/>
      <c r="E40" s="16"/>
      <c r="F40" s="16"/>
      <c r="G40" s="16"/>
      <c r="H40" s="16"/>
      <c r="I40" s="16"/>
      <c r="J40" s="67"/>
      <c r="K40" s="67"/>
      <c r="L40" s="67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</row>
    <row r="41" spans="1:24" ht="12.3">
      <c r="A41" s="34"/>
      <c r="B41" s="40" t="s">
        <v>173</v>
      </c>
      <c r="C41" s="34"/>
      <c r="D41" s="34"/>
      <c r="E41" s="34"/>
      <c r="F41" s="35"/>
      <c r="G41" s="35"/>
      <c r="H41" s="35"/>
      <c r="I41" s="35"/>
      <c r="J41" s="36"/>
      <c r="K41" s="37"/>
      <c r="L41" s="36"/>
      <c r="M41" s="37"/>
      <c r="N41" s="36"/>
      <c r="O41" s="36"/>
      <c r="P41" s="36"/>
      <c r="Q41" s="36"/>
      <c r="R41" s="36"/>
      <c r="S41" s="36"/>
      <c r="T41" s="36"/>
      <c r="U41" s="36"/>
      <c r="V41" s="36"/>
      <c r="W41" s="37"/>
      <c r="X41" s="37"/>
    </row>
    <row r="42" spans="1:24" outlineLevel="1">
      <c r="A42" s="8"/>
      <c r="B42" s="8"/>
      <c r="C42" s="8"/>
      <c r="D42" s="16"/>
      <c r="E42" s="16"/>
      <c r="F42" s="16"/>
      <c r="G42" s="16"/>
      <c r="H42" s="16"/>
      <c r="I42" s="16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8"/>
      <c r="V42" s="8"/>
      <c r="W42" s="8"/>
      <c r="X42" s="8"/>
    </row>
    <row r="43" spans="1:24" ht="10.5" outlineLevel="1">
      <c r="A43" s="8"/>
      <c r="B43" s="8"/>
      <c r="C43" s="9" t="s">
        <v>174</v>
      </c>
      <c r="D43" s="21" t="s">
        <v>47</v>
      </c>
      <c r="E43" s="21" t="s">
        <v>70</v>
      </c>
      <c r="F43" s="21" t="s">
        <v>75</v>
      </c>
      <c r="G43" s="16"/>
      <c r="H43" s="16"/>
      <c r="I43" s="16"/>
      <c r="J43" s="102" t="str">
        <f>IF(YEAR(J$4)&gt;BaseYear,IF(YEAR(J$4)&lt;='Input|General'!$G$14,J$4,""),"")</f>
        <v/>
      </c>
      <c r="K43" s="102" t="str">
        <f>IF(YEAR(K$4)&gt;BaseYear,IF(YEAR(K$4)&lt;='Input|General'!$G$14,K$4,""),"")</f>
        <v/>
      </c>
      <c r="L43" s="102" t="str">
        <f>IF(YEAR(L$4)&gt;BaseYear,IF(YEAR(L$4)&lt;='Input|General'!$G$14,L$4,""),"")</f>
        <v/>
      </c>
      <c r="M43" s="102" t="str">
        <f>IF(YEAR(M$4)&gt;BaseYear,IF(YEAR(M$4)&lt;='Input|General'!$G$14,M$4,""),"")</f>
        <v/>
      </c>
      <c r="N43" s="102">
        <f>IF(YEAR(N$4)&gt;BaseYear,IF(YEAR(N$4)&lt;='Input|General'!$G$14,N$4,""),"")</f>
        <v>45444</v>
      </c>
      <c r="O43" s="102">
        <f>IF(YEAR(O$4)&gt;BaseYear,IF(YEAR(O$4)&lt;='Input|General'!$G$14,O$4,""),"")</f>
        <v>45809</v>
      </c>
      <c r="P43" s="102">
        <f>IF(YEAR(P$4)&gt;BaseYear,IF(YEAR(P$4)&lt;='Input|General'!$G$14,P$4,""),"")</f>
        <v>46174</v>
      </c>
      <c r="Q43" s="102">
        <f>IF(YEAR(Q$4)&gt;BaseYear,IF(YEAR(Q$4)&lt;='Input|General'!$G$14,Q$4,""),"")</f>
        <v>46539</v>
      </c>
      <c r="R43" s="102" t="str">
        <f>IF(YEAR(R$4)&gt;BaseYear,IF(YEAR(R$4)&lt;='Input|General'!$G$14,R$4,""),"")</f>
        <v/>
      </c>
      <c r="S43" s="102" t="str">
        <f>IF(YEAR(S$4)&gt;BaseYear,IF(YEAR(S$4)&lt;='Input|General'!$G$14,S$4,""),"")</f>
        <v/>
      </c>
      <c r="T43" s="102" t="str">
        <f>IF(YEAR(T$4)&gt;=BaseYear,IF(YEAR(T$4)&lt;='Input|General'!$G$14,T$4,""),"")</f>
        <v/>
      </c>
      <c r="U43" s="8"/>
      <c r="V43" s="8"/>
      <c r="W43" s="8"/>
      <c r="X43" s="8"/>
    </row>
    <row r="44" spans="1:24" ht="10.5" outlineLevel="1">
      <c r="A44" s="8"/>
      <c r="B44" s="8"/>
      <c r="C44" s="9"/>
      <c r="D44" s="16"/>
      <c r="E44" s="16"/>
      <c r="F44" s="16"/>
      <c r="G44" s="16"/>
      <c r="H44" s="16"/>
      <c r="I44" s="16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8"/>
      <c r="V44" s="8"/>
      <c r="W44" s="8"/>
      <c r="X44" s="8"/>
    </row>
    <row r="45" spans="1:24" ht="10.5" outlineLevel="1">
      <c r="A45" s="8"/>
      <c r="B45" s="9"/>
      <c r="C45" s="74"/>
      <c r="D45" s="16"/>
      <c r="E45" s="16"/>
      <c r="F45" s="16"/>
      <c r="G45" s="16"/>
      <c r="H45" s="16"/>
      <c r="I45" s="16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8"/>
      <c r="V45" s="8"/>
      <c r="W45" s="8"/>
      <c r="X45" s="8"/>
    </row>
    <row r="46" spans="1:24" outlineLevel="1">
      <c r="A46" s="8"/>
      <c r="B46" s="8"/>
      <c r="C46" s="15" t="s">
        <v>175</v>
      </c>
      <c r="D46" s="16" t="s">
        <v>68</v>
      </c>
      <c r="E46" s="16" t="s">
        <v>124</v>
      </c>
      <c r="F46" s="16" t="s">
        <v>140</v>
      </c>
      <c r="G46" s="16"/>
      <c r="H46" s="16"/>
      <c r="I46" s="16"/>
      <c r="J46" s="75">
        <f ca="1">IF(J43=J4,AVERAGE(OFFSET('Input|Rate of change'!K106,0,0,COUNTA('Input|Rate of change'!$J$93:$M$93),1)),0)</f>
        <v>0</v>
      </c>
      <c r="K46" s="75">
        <f ca="1">IF(K43=K4,AVERAGE(OFFSET('Input|Rate of change'!L106,0,0,COUNTA('Input|Rate of change'!$J$93:$M$93),1)),0)</f>
        <v>0</v>
      </c>
      <c r="L46" s="75">
        <f ca="1">IF(L43=L4,AVERAGE(OFFSET('Input|Rate of change'!M106,0,0,COUNTA('Input|Rate of change'!$J$93:$M$93),1)),0)</f>
        <v>0</v>
      </c>
      <c r="M46" s="75">
        <f ca="1">IF(M43=M4,AVERAGE(OFFSET('Input|Rate of change'!N106,0,0,COUNTA('Input|Rate of change'!$J$93:$M$93),1)),0)</f>
        <v>0</v>
      </c>
      <c r="N46" s="75">
        <f ca="1">IF(N43=N4,AVERAGE(OFFSET('Input|Rate of change'!O106,0,0,COUNTA('Input|Rate of change'!$J$93:$M$93),1)),0)</f>
        <v>0</v>
      </c>
      <c r="O46" s="75">
        <f ca="1">IF(O43=O4,AVERAGE(OFFSET('Input|Rate of change'!P106,0,0,COUNTA('Input|Rate of change'!$J$93:$M$93),1)),0)</f>
        <v>0</v>
      </c>
      <c r="P46" s="75">
        <f ca="1">IF(P43=P4,AVERAGE(OFFSET('Input|Rate of change'!Q106,0,0,COUNTA('Input|Rate of change'!$J$93:$M$93),1)),0)</f>
        <v>0</v>
      </c>
      <c r="Q46" s="75">
        <f ca="1">IF(Q43=Q4,AVERAGE(OFFSET('Input|Rate of change'!R106,0,0,COUNTA('Input|Rate of change'!$J$93:$M$93),1)),0)</f>
        <v>0</v>
      </c>
      <c r="R46" s="75">
        <f ca="1">IF(R43=R4,AVERAGE(OFFSET('Input|Rate of change'!S106,0,0,COUNTA('Input|Rate of change'!$J$93:$M$93),1)),0)</f>
        <v>0</v>
      </c>
      <c r="S46" s="75">
        <f ca="1">IF(S43=S4,AVERAGE(OFFSET('Input|Rate of change'!T106,0,0,COUNTA('Input|Rate of change'!$J$93:$M$93),1)),0)</f>
        <v>0</v>
      </c>
      <c r="T46" s="75">
        <f ca="1">IF(T43=T4,AVERAGE(OFFSET('Input|Rate of change'!U106,0,0,COUNTA('Input|Rate of change'!$J$93:$M$93),1)),0)</f>
        <v>0</v>
      </c>
      <c r="U46" s="8"/>
      <c r="V46" s="8"/>
      <c r="W46" s="8"/>
      <c r="X46" s="8"/>
    </row>
    <row r="47" spans="1:24" outlineLevel="1">
      <c r="A47" s="8"/>
      <c r="B47" s="8"/>
      <c r="C47" s="15" t="s">
        <v>176</v>
      </c>
      <c r="D47" s="16" t="s">
        <v>68</v>
      </c>
      <c r="E47" s="16" t="s">
        <v>124</v>
      </c>
      <c r="F47" s="16" t="s">
        <v>140</v>
      </c>
      <c r="G47" s="16"/>
      <c r="H47" s="16"/>
      <c r="I47" s="16"/>
      <c r="J47" s="75">
        <f t="array" ref="J47">IF(J$43=J$4,PRODUCT(1+$J46:J46)-1,0)</f>
        <v>0</v>
      </c>
      <c r="K47" s="75">
        <f t="array" ref="K47">IF(K$43=K$4,PRODUCT(1+$J46:K46)-1,0)</f>
        <v>0</v>
      </c>
      <c r="L47" s="75">
        <f t="array" ref="L47">IF(L$43=L$4,PRODUCT(1+$J46:L46)-1,0)</f>
        <v>0</v>
      </c>
      <c r="M47" s="75">
        <f t="array" ref="M47">IF(M$43=M$4,PRODUCT(1+$J46:M46)-1,0)</f>
        <v>0</v>
      </c>
      <c r="N47" s="75">
        <f t="array" aca="1" ref="N47" ca="1">IF(N$43=N$4,PRODUCT(1+$J46:N46)-1,0)</f>
        <v>0</v>
      </c>
      <c r="O47" s="75">
        <f t="array" aca="1" ref="O47" ca="1">IF(O$43=O$4,PRODUCT(1+$J46:O46)-1,0)</f>
        <v>0</v>
      </c>
      <c r="P47" s="75">
        <f t="array" aca="1" ref="P47" ca="1">IF(P$43=P$4,PRODUCT(1+$J46:P46)-1,0)</f>
        <v>0</v>
      </c>
      <c r="Q47" s="75">
        <f t="array" aca="1" ref="Q47" ca="1">IF(Q$43=Q$4,PRODUCT(1+$J46:Q46)-1,0)</f>
        <v>0</v>
      </c>
      <c r="R47" s="75">
        <f t="array" ref="R47">IF(R$43=R$4,PRODUCT(1+$J46:R46)-1,0)</f>
        <v>0</v>
      </c>
      <c r="S47" s="75">
        <f t="array" ref="S47">IF(S$43=S$4,PRODUCT(1+$J46:S46)-1,0)</f>
        <v>0</v>
      </c>
      <c r="T47" s="75">
        <f t="array" ref="T47">IF(T$43=T$4,PRODUCT(1+$J46:T46)-1,0)</f>
        <v>0</v>
      </c>
      <c r="U47" s="8"/>
      <c r="V47" s="8"/>
      <c r="W47" s="8"/>
      <c r="X47" s="8"/>
    </row>
    <row r="48" spans="1:24" outlineLevel="1">
      <c r="A48" s="8"/>
      <c r="B48" s="8"/>
      <c r="C48" s="8"/>
      <c r="D48" s="16"/>
      <c r="E48" s="16"/>
      <c r="F48" s="16"/>
      <c r="G48" s="16"/>
      <c r="H48" s="16"/>
      <c r="I48" s="16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8"/>
      <c r="V48" s="8"/>
      <c r="W48" s="8"/>
      <c r="X48" s="8"/>
    </row>
    <row r="49" spans="1:24" outlineLevel="1">
      <c r="A49" s="8"/>
      <c r="B49" s="8"/>
      <c r="C49" s="15" t="s">
        <v>177</v>
      </c>
      <c r="D49" s="16" t="s">
        <v>68</v>
      </c>
      <c r="E49" s="16" t="s">
        <v>124</v>
      </c>
      <c r="F49" s="16" t="s">
        <v>140</v>
      </c>
      <c r="G49" s="16"/>
      <c r="H49" s="16"/>
      <c r="I49" s="16"/>
      <c r="J49" s="75">
        <f>SUMPRODUCT('Input|Rate of change'!K38:K45,'Input|Rate of change'!K51:K58)</f>
        <v>0</v>
      </c>
      <c r="K49" s="75">
        <f>SUMPRODUCT('Input|Rate of change'!L38:L45,'Input|Rate of change'!L51:L58)</f>
        <v>0</v>
      </c>
      <c r="L49" s="75">
        <f>SUMPRODUCT('Input|Rate of change'!M38:M45,'Input|Rate of change'!M51:M58)</f>
        <v>0</v>
      </c>
      <c r="M49" s="75">
        <f>SUMPRODUCT('Input|Rate of change'!N38:N45,'Input|Rate of change'!N51:N58)</f>
        <v>0</v>
      </c>
      <c r="N49" s="75">
        <f>SUMPRODUCT('Input|Rate of change'!O38:O45,'Input|Rate of change'!O51:O58)</f>
        <v>5.7310696450581277E-3</v>
      </c>
      <c r="O49" s="75">
        <f>SUMPRODUCT('Input|Rate of change'!P38:P45,'Input|Rate of change'!P51:P58)</f>
        <v>1.024679632015724E-2</v>
      </c>
      <c r="P49" s="75">
        <f>SUMPRODUCT('Input|Rate of change'!Q38:Q45,'Input|Rate of change'!Q51:Q58)</f>
        <v>1.2543250349408716E-2</v>
      </c>
      <c r="Q49" s="75">
        <f>SUMPRODUCT('Input|Rate of change'!R38:R45,'Input|Rate of change'!R51:R58)</f>
        <v>8.584776913409406E-3</v>
      </c>
      <c r="R49" s="75">
        <f>SUMPRODUCT('Input|Rate of change'!S38:S45,'Input|Rate of change'!S51:S58)</f>
        <v>0</v>
      </c>
      <c r="S49" s="75">
        <f>SUMPRODUCT('Input|Rate of change'!T38:T45,'Input|Rate of change'!T51:T58)</f>
        <v>0</v>
      </c>
      <c r="T49" s="75">
        <f>SUMPRODUCT('Input|Rate of change'!U38:U45,'Input|Rate of change'!U51:U58)</f>
        <v>0</v>
      </c>
      <c r="U49" s="8"/>
      <c r="V49" s="8"/>
      <c r="W49" s="8"/>
      <c r="X49" s="8"/>
    </row>
    <row r="50" spans="1:24" outlineLevel="1">
      <c r="A50" s="8"/>
      <c r="B50" s="8"/>
      <c r="C50" s="15" t="s">
        <v>178</v>
      </c>
      <c r="D50" s="16" t="s">
        <v>68</v>
      </c>
      <c r="E50" s="16" t="s">
        <v>124</v>
      </c>
      <c r="F50" s="16" t="s">
        <v>140</v>
      </c>
      <c r="G50" s="16"/>
      <c r="H50" s="16"/>
      <c r="I50" s="16"/>
      <c r="J50" s="75">
        <f t="array" ref="J50">IF(J$43=J$4,PRODUCT(1+$J49:J49)-1,0)</f>
        <v>0</v>
      </c>
      <c r="K50" s="75">
        <f t="array" ref="K50">IF(K$43=K$4,PRODUCT(1+$J49:K49)-1,0)</f>
        <v>0</v>
      </c>
      <c r="L50" s="75">
        <f t="array" ref="L50">IF(L$43=L$4,PRODUCT(1+$J49:L49)-1,0)</f>
        <v>0</v>
      </c>
      <c r="M50" s="75">
        <f t="array" ref="M50">IF(M$43=M$4,PRODUCT(1+$J49:M49)-1,0)</f>
        <v>0</v>
      </c>
      <c r="N50" s="75">
        <f t="array" ref="N50">IF(N$43=N$4,PRODUCT(1+$J49:N49)-1,0)</f>
        <v>5.7310696450580956E-3</v>
      </c>
      <c r="O50" s="75">
        <f t="array" ref="O50">IF(O$43=O$4,PRODUCT(1+$J49:O49)-1,0)</f>
        <v>1.603659106856492E-2</v>
      </c>
      <c r="P50" s="75">
        <f t="array" ref="P50">IF(P$43=P$4,PRODUCT(1+$J49:P49)-1,0)</f>
        <v>2.8780992394497718E-2</v>
      </c>
      <c r="Q50" s="75">
        <f t="array" ref="Q50">IF(Q$43=Q$4,PRODUCT(1+$J49:Q49)-1,0)</f>
        <v>3.7612847706960384E-2</v>
      </c>
      <c r="R50" s="75">
        <f t="array" ref="R50">IF(R$43=R$4,PRODUCT(1+$J49:R49)-1,0)</f>
        <v>0</v>
      </c>
      <c r="S50" s="75">
        <f t="array" ref="S50">IF(S$43=S$4,PRODUCT(1+$J49:S49)-1,0)</f>
        <v>0</v>
      </c>
      <c r="T50" s="75">
        <f t="array" ref="T50">IF(T$43=T$4,PRODUCT(1+$J49:T49)-1,0)</f>
        <v>0</v>
      </c>
      <c r="U50" s="8"/>
      <c r="V50" s="8"/>
      <c r="W50" s="8"/>
      <c r="X50" s="8"/>
    </row>
    <row r="51" spans="1:24" outlineLevel="1">
      <c r="A51" s="8"/>
      <c r="B51" s="8"/>
      <c r="C51" s="15"/>
      <c r="D51" s="16"/>
      <c r="E51" s="16"/>
      <c r="F51" s="16"/>
      <c r="G51" s="16"/>
      <c r="H51" s="16"/>
      <c r="I51" s="16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8"/>
      <c r="V51" s="8"/>
      <c r="W51" s="8"/>
      <c r="X51" s="8"/>
    </row>
    <row r="52" spans="1:24" outlineLevel="1">
      <c r="A52" s="8"/>
      <c r="B52" s="8"/>
      <c r="C52" s="15" t="s">
        <v>179</v>
      </c>
      <c r="D52" s="16" t="s">
        <v>68</v>
      </c>
      <c r="E52" s="16" t="s">
        <v>124</v>
      </c>
      <c r="F52" s="16" t="s">
        <v>140</v>
      </c>
      <c r="G52" s="16"/>
      <c r="H52" s="16"/>
      <c r="I52" s="16"/>
      <c r="J52" s="75">
        <f>'Input|Rate of change'!K115</f>
        <v>0</v>
      </c>
      <c r="K52" s="75">
        <f>'Input|Rate of change'!L115</f>
        <v>0</v>
      </c>
      <c r="L52" s="75">
        <f>'Input|Rate of change'!M115</f>
        <v>0</v>
      </c>
      <c r="M52" s="75">
        <f>'Input|Rate of change'!N115</f>
        <v>0</v>
      </c>
      <c r="N52" s="75">
        <f>'Input|Rate of change'!O115</f>
        <v>0</v>
      </c>
      <c r="O52" s="75">
        <f>'Input|Rate of change'!P115</f>
        <v>0</v>
      </c>
      <c r="P52" s="75">
        <f>'Input|Rate of change'!Q115</f>
        <v>0</v>
      </c>
      <c r="Q52" s="75">
        <f>'Input|Rate of change'!R115</f>
        <v>0</v>
      </c>
      <c r="R52" s="75">
        <f>'Input|Rate of change'!S115</f>
        <v>0</v>
      </c>
      <c r="S52" s="75">
        <f>'Input|Rate of change'!T115</f>
        <v>0</v>
      </c>
      <c r="T52" s="75">
        <f>'Input|Rate of change'!U115</f>
        <v>0</v>
      </c>
      <c r="U52" s="8"/>
      <c r="V52" s="8"/>
      <c r="W52" s="8"/>
      <c r="X52" s="8"/>
    </row>
    <row r="53" spans="1:24" outlineLevel="1">
      <c r="A53" s="8"/>
      <c r="B53" s="8"/>
      <c r="C53" s="15" t="s">
        <v>180</v>
      </c>
      <c r="D53" s="16" t="s">
        <v>68</v>
      </c>
      <c r="E53" s="16" t="s">
        <v>124</v>
      </c>
      <c r="F53" s="16" t="s">
        <v>140</v>
      </c>
      <c r="G53" s="16"/>
      <c r="H53" s="16"/>
      <c r="I53" s="16"/>
      <c r="J53" s="75">
        <f t="array" ref="J53">IF(J$43=J$4,PRODUCT(1+$J52:J52)-1,0)</f>
        <v>0</v>
      </c>
      <c r="K53" s="75">
        <f t="array" ref="K53">IF(K$43=K$4,PRODUCT(1+$J52:K52)-1,0)</f>
        <v>0</v>
      </c>
      <c r="L53" s="75">
        <f t="array" ref="L53">IF(L$43=L$4,PRODUCT(1+$J52:L52)-1,0)</f>
        <v>0</v>
      </c>
      <c r="M53" s="75">
        <f t="array" ref="M53">IF(M$43=M$4,PRODUCT(1+$J52:M52)-1,0)</f>
        <v>0</v>
      </c>
      <c r="N53" s="75">
        <f t="array" ref="N53">IF(N$43=N$4,PRODUCT(1+$J52:N52)-1,0)</f>
        <v>0</v>
      </c>
      <c r="O53" s="75">
        <f t="array" ref="O53">IF(O$43=O$4,PRODUCT(1+$J52:O52)-1,0)</f>
        <v>0</v>
      </c>
      <c r="P53" s="75">
        <f t="array" ref="P53">IF(P$43=P$4,PRODUCT(1+$J52:P52)-1,0)</f>
        <v>0</v>
      </c>
      <c r="Q53" s="75">
        <f t="array" ref="Q53">IF(Q$43=Q$4,PRODUCT(1+$J52:Q52)-1,0)</f>
        <v>0</v>
      </c>
      <c r="R53" s="75">
        <f t="array" ref="R53">IF(R$43=R$4,PRODUCT(1+$J52:R52)-1,0)</f>
        <v>0</v>
      </c>
      <c r="S53" s="75">
        <f t="array" ref="S53">IF(S$43=S$4,PRODUCT(1+$J52:S52)-1,0)</f>
        <v>0</v>
      </c>
      <c r="T53" s="75">
        <f t="array" ref="T53">IF(T$43=T$4,PRODUCT(1+$J52:T52)-1,0)</f>
        <v>0</v>
      </c>
      <c r="U53" s="8"/>
      <c r="V53" s="8"/>
      <c r="W53" s="8"/>
      <c r="X53" s="8"/>
    </row>
    <row r="54" spans="1:24" outlineLevel="1">
      <c r="A54" s="8"/>
      <c r="B54" s="8"/>
      <c r="C54" s="15"/>
      <c r="D54" s="16"/>
      <c r="E54" s="16"/>
      <c r="F54" s="16"/>
      <c r="G54" s="16"/>
      <c r="H54" s="16"/>
      <c r="I54" s="16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8"/>
      <c r="V54" s="8"/>
      <c r="W54" s="8"/>
      <c r="X54" s="8"/>
    </row>
    <row r="55" spans="1:24" ht="10.5" outlineLevel="1">
      <c r="A55" s="8"/>
      <c r="B55" s="8"/>
      <c r="C55" s="76" t="s">
        <v>181</v>
      </c>
      <c r="D55" s="72" t="s">
        <v>68</v>
      </c>
      <c r="E55" s="72" t="s">
        <v>124</v>
      </c>
      <c r="F55" s="72" t="s">
        <v>140</v>
      </c>
      <c r="G55" s="16"/>
      <c r="H55" s="16"/>
      <c r="I55" s="16"/>
      <c r="J55" s="91">
        <f ca="1">(1+J46)*(1+J49)*(1-J52)-1</f>
        <v>0</v>
      </c>
      <c r="K55" s="91">
        <f t="shared" ref="K55:S55" ca="1" si="4">(1+K46)*(1+K49)*(1-K52)-1</f>
        <v>0</v>
      </c>
      <c r="L55" s="91">
        <f t="shared" ca="1" si="4"/>
        <v>0</v>
      </c>
      <c r="M55" s="91">
        <f t="shared" ca="1" si="4"/>
        <v>0</v>
      </c>
      <c r="N55" s="91">
        <f t="shared" ca="1" si="4"/>
        <v>5.7310696450580956E-3</v>
      </c>
      <c r="O55" s="91">
        <f t="shared" ca="1" si="4"/>
        <v>1.0246796320157348E-2</v>
      </c>
      <c r="P55" s="91">
        <f t="shared" ca="1" si="4"/>
        <v>1.254325034940873E-2</v>
      </c>
      <c r="Q55" s="91">
        <f t="shared" ca="1" si="4"/>
        <v>8.5847769134093088E-3</v>
      </c>
      <c r="R55" s="91">
        <f t="shared" ca="1" si="4"/>
        <v>0</v>
      </c>
      <c r="S55" s="91">
        <f t="shared" ca="1" si="4"/>
        <v>0</v>
      </c>
      <c r="T55" s="91">
        <f t="shared" ref="T55" ca="1" si="5">(1+T46)*(1+T49)*(1-T52)-1</f>
        <v>0</v>
      </c>
      <c r="U55" s="8"/>
      <c r="V55" s="8"/>
      <c r="W55" s="8"/>
      <c r="X55" s="8"/>
    </row>
    <row r="56" spans="1:24" ht="10.5" outlineLevel="1">
      <c r="A56" s="8"/>
      <c r="B56" s="8"/>
      <c r="C56" s="9" t="s">
        <v>182</v>
      </c>
      <c r="D56" s="16" t="s">
        <v>68</v>
      </c>
      <c r="E56" s="16" t="s">
        <v>124</v>
      </c>
      <c r="F56" s="16" t="s">
        <v>140</v>
      </c>
      <c r="G56" s="16"/>
      <c r="H56" s="16"/>
      <c r="I56" s="16"/>
      <c r="J56" s="75" t="str">
        <f t="array" ref="J56">IF(J$43=J$4,PRODUCT(1+$J55:J55)-1,"")</f>
        <v/>
      </c>
      <c r="K56" s="75" t="str">
        <f t="array" ref="K56">IF(K$43=K$4,PRODUCT(1+$J55:K55)-1,"")</f>
        <v/>
      </c>
      <c r="L56" s="75" t="str">
        <f t="array" ref="L56">IF(L$43=L$4,PRODUCT(1+$J55:L55)-1,"")</f>
        <v/>
      </c>
      <c r="M56" s="75" t="str">
        <f t="array" ref="M56">IF(M$43=M$4,PRODUCT(1+$J55:M55)-1,"")</f>
        <v/>
      </c>
      <c r="N56" s="75">
        <f t="array" aca="1" ref="N56" ca="1">IF(N$43=N$4,PRODUCT(1+$J55:N55)-1,"")</f>
        <v>5.7310696450580956E-3</v>
      </c>
      <c r="O56" s="75">
        <f t="array" aca="1" ref="O56" ca="1">IF(O$43=O$4,PRODUCT(1+$J55:O55)-1,"")</f>
        <v>1.603659106856492E-2</v>
      </c>
      <c r="P56" s="75">
        <f t="array" aca="1" ref="P56" ca="1">IF(P$43=P$4,PRODUCT(1+$J55:P55)-1,"")</f>
        <v>2.8780992394497718E-2</v>
      </c>
      <c r="Q56" s="75">
        <f t="array" aca="1" ref="Q56" ca="1">IF(Q$43=Q$4,PRODUCT(1+$J55:Q55)-1,"")</f>
        <v>3.7612847706960384E-2</v>
      </c>
      <c r="R56" s="75" t="str">
        <f t="array" ref="R56">IF(R$43=R$4,PRODUCT(1+$J55:R55)-1,"")</f>
        <v/>
      </c>
      <c r="S56" s="75" t="str">
        <f t="array" ref="S56">IF(S$43=S$4,PRODUCT(1+$J55:S55)-1,"")</f>
        <v/>
      </c>
      <c r="T56" s="75" t="str">
        <f t="array" ref="T56">IF(T$43=T$4,PRODUCT(1+$J55:T55)-1,"")</f>
        <v/>
      </c>
      <c r="U56" s="8"/>
      <c r="V56" s="8"/>
      <c r="W56" s="8"/>
      <c r="X56" s="8"/>
    </row>
    <row r="57" spans="1:24">
      <c r="A57" s="8"/>
      <c r="B57" s="8"/>
      <c r="C57" s="8"/>
      <c r="D57" s="16"/>
      <c r="E57" s="16"/>
      <c r="F57" s="16"/>
      <c r="G57" s="16"/>
      <c r="H57" s="16"/>
      <c r="I57" s="16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77"/>
      <c r="U57" s="8"/>
      <c r="V57" s="8"/>
      <c r="W57" s="8"/>
      <c r="X57" s="8"/>
    </row>
    <row r="58" spans="1:24" ht="12.3">
      <c r="A58" s="34"/>
      <c r="B58" s="40" t="s">
        <v>183</v>
      </c>
      <c r="C58" s="34"/>
      <c r="D58" s="34"/>
      <c r="E58" s="34"/>
      <c r="F58" s="35"/>
      <c r="G58" s="35"/>
      <c r="H58" s="35"/>
      <c r="I58" s="35"/>
      <c r="J58" s="36"/>
      <c r="K58" s="37"/>
      <c r="L58" s="36"/>
      <c r="M58" s="37"/>
      <c r="N58" s="36"/>
      <c r="O58" s="36"/>
      <c r="P58" s="36"/>
      <c r="Q58" s="36"/>
      <c r="R58" s="36"/>
      <c r="S58" s="36"/>
      <c r="T58" s="36"/>
      <c r="U58" s="36"/>
      <c r="V58" s="36"/>
      <c r="W58" s="37"/>
      <c r="X58" s="37"/>
    </row>
    <row r="59" spans="1:24" outlineLevel="1">
      <c r="A59" s="8"/>
      <c r="B59" s="8"/>
      <c r="C59" s="15"/>
      <c r="D59" s="16"/>
      <c r="E59" s="16"/>
      <c r="F59" s="16"/>
      <c r="G59" s="16"/>
      <c r="H59" s="16"/>
      <c r="I59" s="16"/>
      <c r="J59" s="67"/>
      <c r="K59" s="67"/>
      <c r="L59" s="67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</row>
    <row r="60" spans="1:24" ht="10.5" outlineLevel="1">
      <c r="A60" s="8"/>
      <c r="B60" s="8"/>
      <c r="C60" s="9" t="s">
        <v>184</v>
      </c>
      <c r="D60" s="21" t="s">
        <v>47</v>
      </c>
      <c r="E60" s="21" t="s">
        <v>70</v>
      </c>
      <c r="F60" s="21" t="s">
        <v>75</v>
      </c>
      <c r="G60" s="21" t="str">
        <f>'Input|Step changes'!G10</f>
        <v>Sub Service</v>
      </c>
      <c r="H60" s="21" t="str">
        <f>'Input|Step changes'!H10</f>
        <v>Service Allocation</v>
      </c>
      <c r="I60" s="207" t="str">
        <f>'Input|Step changes'!I10</f>
        <v>Cost Category</v>
      </c>
      <c r="J60" s="102" t="str">
        <f>IF(YEAR(J$4)&gt;='Input|General'!$G$13,IF(YEAR(J$4)&lt;='Input|General'!$G$14,J$4,""),"")</f>
        <v/>
      </c>
      <c r="K60" s="102" t="str">
        <f>IF(YEAR(K$4)&gt;='Input|General'!$G$13,IF(YEAR(K$4)&lt;='Input|General'!$G$14,K$4,""),"")</f>
        <v/>
      </c>
      <c r="L60" s="102" t="str">
        <f>IF(YEAR(L$4)&gt;='Input|General'!$G$13,IF(YEAR(L$4)&lt;='Input|General'!$G$14,L$4,""),"")</f>
        <v/>
      </c>
      <c r="M60" s="102" t="str">
        <f>IF(YEAR(M$4)&gt;='Input|General'!$G$13,IF(YEAR(M$4)&lt;='Input|General'!$G$14,M$4,""),"")</f>
        <v/>
      </c>
      <c r="N60" s="102" t="str">
        <f>IF(YEAR(N$4)&gt;='Input|General'!$G$13,IF(YEAR(N$4)&lt;='Input|General'!$G$14,N$4,""),"")</f>
        <v/>
      </c>
      <c r="O60" s="102">
        <f>IF(YEAR(O$4)&gt;='Input|General'!$G$13,IF(YEAR(O$4)&lt;='Input|General'!$G$14,O$4,""),"")</f>
        <v>45809</v>
      </c>
      <c r="P60" s="102">
        <f>IF(YEAR(P$4)&gt;='Input|General'!$G$13,IF(YEAR(P$4)&lt;='Input|General'!$G$14,P$4,""),"")</f>
        <v>46174</v>
      </c>
      <c r="Q60" s="102">
        <f>IF(YEAR(Q$4)&gt;='Input|General'!$G$13,IF(YEAR(Q$4)&lt;='Input|General'!$G$14,Q$4,""),"")</f>
        <v>46539</v>
      </c>
      <c r="R60" s="102" t="str">
        <f>IF(YEAR(R$4)&gt;='Input|General'!$G$13,IF(YEAR(R$4)&lt;='Input|General'!$G$14,R$4,""),"")</f>
        <v/>
      </c>
      <c r="S60" s="102" t="str">
        <f>IF(YEAR(S$4)&gt;='Input|General'!$G$13,IF(YEAR(S$4)&lt;='Input|General'!$G$14,S$4,""),"")</f>
        <v/>
      </c>
      <c r="T60" s="102" t="str">
        <f>IF(YEAR(T$4)&gt;=BaseYear,IF(YEAR(T$4)&lt;='Input|General'!$G$14,T$4,""),"")</f>
        <v/>
      </c>
      <c r="U60" s="8"/>
      <c r="V60" s="8"/>
      <c r="W60" s="8"/>
      <c r="X60" s="8"/>
    </row>
    <row r="61" spans="1:24" ht="10.5" outlineLevel="1">
      <c r="A61" s="8"/>
      <c r="B61" s="8"/>
      <c r="C61" s="9"/>
      <c r="D61" s="16"/>
      <c r="E61" s="16"/>
      <c r="F61" s="16"/>
      <c r="G61" s="16"/>
      <c r="H61" s="16"/>
      <c r="I61" s="7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8"/>
      <c r="V61" s="8"/>
      <c r="W61" s="8"/>
      <c r="X61" s="8"/>
    </row>
    <row r="62" spans="1:24" outlineLevel="1">
      <c r="A62" s="8"/>
      <c r="B62" s="8"/>
      <c r="C62" s="78" t="str">
        <f>'Input|Step changes'!C12</f>
        <v>Market Operations (MO) - Personnel Costs</v>
      </c>
      <c r="D62" s="16" t="s">
        <v>68</v>
      </c>
      <c r="E62" s="16" t="str">
        <f t="shared" ref="E62:E89" si="6">$E$8</f>
        <v>$millions</v>
      </c>
      <c r="F62" s="101">
        <f t="shared" ref="F62:F79" si="7">$F$8</f>
        <v>45444</v>
      </c>
      <c r="G62" s="67" t="str">
        <f>'Input|Step changes'!G12</f>
        <v>Market Operations (MO)</v>
      </c>
      <c r="H62" s="67" t="str">
        <f>'Input|Step changes'!H12</f>
        <v>Market Operator</v>
      </c>
      <c r="I62" s="8" t="str">
        <f>'Input|Step changes'!I12</f>
        <v>Personnel Costs</v>
      </c>
      <c r="J62" s="82">
        <f>'Input|Step changes'!J12*INDEX('Input|Rate of change'!$C$14:$P$22,MATCH('Input|Step changes'!$F12,'Input|Rate of change'!$C$14:$C$22,0),MATCH('Calc|Opex forecast'!$F62,'Input|Rate of change'!$C$14:$P$14,0))*IF('Input|Step changes'!$E12="$millions",1000000,IF('Input|Step changes'!$E12="$000",1000,1))/IF($E62="$millions",1000000,IF($E62="$000",1000,1))</f>
        <v>0</v>
      </c>
      <c r="K62" s="82">
        <f>'Input|Step changes'!K12*INDEX('Input|Rate of change'!$C$14:$P$22,MATCH('Input|Step changes'!$F12,'Input|Rate of change'!$C$14:$C$22,0),MATCH('Calc|Opex forecast'!$F62,'Input|Rate of change'!$C$14:$P$14,0))*IF('Input|Step changes'!$E12="$millions",1000000,IF('Input|Step changes'!$E12="$000",1000,1))/IF($E62="$millions",1000000,IF($E62="$000",1000,1))</f>
        <v>0</v>
      </c>
      <c r="L62" s="82">
        <f>'Input|Step changes'!L12*INDEX('Input|Rate of change'!$C$14:$P$22,MATCH('Input|Step changes'!$F12,'Input|Rate of change'!$C$14:$C$22,0),MATCH('Calc|Opex forecast'!$F62,'Input|Rate of change'!$C$14:$P$14,0))*IF('Input|Step changes'!$E12="$millions",1000000,IF('Input|Step changes'!$E12="$000",1000,1))/IF($E62="$millions",1000000,IF($E62="$000",1000,1))</f>
        <v>0</v>
      </c>
      <c r="M62" s="82">
        <f>'Input|Step changes'!M12*INDEX('Input|Rate of change'!$C$14:$P$22,MATCH('Input|Step changes'!$F12,'Input|Rate of change'!$C$14:$C$22,0),MATCH('Calc|Opex forecast'!$F62,'Input|Rate of change'!$C$14:$P$14,0))*IF('Input|Step changes'!$E12="$millions",1000000,IF('Input|Step changes'!$E12="$000",1000,1))/IF($E62="$millions",1000000,IF($E62="$000",1000,1))</f>
        <v>0</v>
      </c>
      <c r="N62" s="82">
        <f>'Input|Step changes'!N12*INDEX('Input|Rate of change'!$C$14:$P$22,MATCH('Input|Step changes'!$F12,'Input|Rate of change'!$C$14:$C$22,0),MATCH('Calc|Opex forecast'!$F62,'Input|Rate of change'!$C$14:$P$14,0))*IF('Input|Step changes'!$E12="$millions",1000000,IF('Input|Step changes'!$E12="$000",1000,1))/IF($E62="$millions",1000000,IF($E62="$000",1000,1))</f>
        <v>0</v>
      </c>
      <c r="O62" s="82">
        <f>'Input|Step changes'!O12*INDEX('Input|Rate of change'!$C$14:$P$22,MATCH('Input|Step changes'!$F12,'Input|Rate of change'!$C$14:$C$22,0),MATCH('Calc|Opex forecast'!$F62,'Input|Rate of change'!$C$14:$P$14,0))*IF('Input|Step changes'!$E12="$millions",1000000,IF('Input|Step changes'!$E12="$000",1000,1))/IF($E62="$millions",1000000,IF($E62="$000",1000,1))</f>
        <v>0.28823700025922327</v>
      </c>
      <c r="P62" s="82">
        <f>'Input|Step changes'!P12*INDEX('Input|Rate of change'!$C$14:$P$22,MATCH('Input|Step changes'!$F12,'Input|Rate of change'!$C$14:$C$22,0),MATCH('Calc|Opex forecast'!$F62,'Input|Rate of change'!$C$14:$P$14,0))*IF('Input|Step changes'!$E12="$millions",1000000,IF('Input|Step changes'!$E12="$000",1000,1))/IF($E62="$millions",1000000,IF($E62="$000",1000,1))</f>
        <v>0.3175050042421379</v>
      </c>
      <c r="Q62" s="82">
        <f>'Input|Step changes'!Q12*INDEX('Input|Rate of change'!$C$14:$P$22,MATCH('Input|Step changes'!$F12,'Input|Rate of change'!$C$14:$C$22,0),MATCH('Calc|Opex forecast'!$F62,'Input|Rate of change'!$C$14:$P$14,0))*IF('Input|Step changes'!$E12="$millions",1000000,IF('Input|Step changes'!$E12="$000",1000,1))/IF($E62="$millions",1000000,IF($E62="$000",1000,1))</f>
        <v>0.3175050042421379</v>
      </c>
      <c r="R62" s="82">
        <f>'Input|Step changes'!R12*INDEX('Input|Rate of change'!$C$14:$P$22,MATCH('Input|Step changes'!$F12,'Input|Rate of change'!$C$14:$C$22,0),MATCH('Calc|Opex forecast'!$F62,'Input|Rate of change'!$C$14:$P$14,0))*IF('Input|Step changes'!$E12="$millions",1000000,IF('Input|Step changes'!$E12="$000",1000,1))/IF($E62="$millions",1000000,IF($E62="$000",1000,1))</f>
        <v>0</v>
      </c>
      <c r="S62" s="82">
        <f>'Input|Step changes'!S12*INDEX('Input|Rate of change'!$C$14:$P$22,MATCH('Input|Step changes'!$F12,'Input|Rate of change'!$C$14:$C$22,0),MATCH('Calc|Opex forecast'!$F62,'Input|Rate of change'!$C$14:$P$14,0))*IF('Input|Step changes'!$E12="$millions",1000000,IF('Input|Step changes'!$E12="$000",1000,1))/IF($E62="$millions",1000000,IF($E62="$000",1000,1))</f>
        <v>0</v>
      </c>
      <c r="T62" s="82">
        <f>'Input|Step changes'!T12*INDEX('Input|Rate of change'!$C$14:$P$22,MATCH('Input|Step changes'!$F12,'Input|Rate of change'!$C$14:$C$22,0),MATCH('Calc|Opex forecast'!$F62,'Input|Rate of change'!$C$14:$P$14,0))*IF('Input|Step changes'!$E12="$millions",1000000,IF('Input|Step changes'!$E12="$000",1000,1))/IF($E62="$millions",1000000,IF($E62="$000",1000,1))</f>
        <v>0</v>
      </c>
      <c r="U62" s="8"/>
      <c r="V62" s="8"/>
      <c r="W62" s="8"/>
      <c r="X62" s="8"/>
    </row>
    <row r="63" spans="1:24" outlineLevel="1">
      <c r="A63" s="8"/>
      <c r="B63" s="8"/>
      <c r="C63" s="78" t="str">
        <f>'Input|Step changes'!C13</f>
        <v>Market Operations (MO) - Professional Fees</v>
      </c>
      <c r="D63" s="16" t="s">
        <v>68</v>
      </c>
      <c r="E63" s="16" t="str">
        <f t="shared" si="6"/>
        <v>$millions</v>
      </c>
      <c r="F63" s="101">
        <f t="shared" si="7"/>
        <v>45444</v>
      </c>
      <c r="G63" s="67" t="str">
        <f>'Input|Step changes'!G13</f>
        <v>Market Operations (MO)</v>
      </c>
      <c r="H63" s="67" t="str">
        <f>'Input|Step changes'!H13</f>
        <v>Market Operator</v>
      </c>
      <c r="I63" s="8" t="str">
        <f>'Input|Step changes'!I13</f>
        <v>Professional Fees</v>
      </c>
      <c r="J63" s="82">
        <f>'Input|Step changes'!J13*INDEX('Input|Rate of change'!$C$14:$P$22,MATCH('Input|Step changes'!$F13,'Input|Rate of change'!$C$14:$C$22,0),MATCH('Calc|Opex forecast'!$F63,'Input|Rate of change'!$C$14:$P$14,0))*IF('Input|Step changes'!$E13="$millions",1000000,IF('Input|Step changes'!$E13="$000",1000,1))/IF($E63="$millions",1000000,IF($E63="$000",1000,1))</f>
        <v>0</v>
      </c>
      <c r="K63" s="82">
        <f>'Input|Step changes'!K13*INDEX('Input|Rate of change'!$C$14:$P$22,MATCH('Input|Step changes'!$F13,'Input|Rate of change'!$C$14:$C$22,0),MATCH('Calc|Opex forecast'!$F63,'Input|Rate of change'!$C$14:$P$14,0))*IF('Input|Step changes'!$E13="$millions",1000000,IF('Input|Step changes'!$E13="$000",1000,1))/IF($E63="$millions",1000000,IF($E63="$000",1000,1))</f>
        <v>0</v>
      </c>
      <c r="L63" s="82">
        <f>'Input|Step changes'!L13*INDEX('Input|Rate of change'!$C$14:$P$22,MATCH('Input|Step changes'!$F13,'Input|Rate of change'!$C$14:$C$22,0),MATCH('Calc|Opex forecast'!$F63,'Input|Rate of change'!$C$14:$P$14,0))*IF('Input|Step changes'!$E13="$millions",1000000,IF('Input|Step changes'!$E13="$000",1000,1))/IF($E63="$millions",1000000,IF($E63="$000",1000,1))</f>
        <v>0</v>
      </c>
      <c r="M63" s="82">
        <f>'Input|Step changes'!M13*INDEX('Input|Rate of change'!$C$14:$P$22,MATCH('Input|Step changes'!$F13,'Input|Rate of change'!$C$14:$C$22,0),MATCH('Calc|Opex forecast'!$F63,'Input|Rate of change'!$C$14:$P$14,0))*IF('Input|Step changes'!$E13="$millions",1000000,IF('Input|Step changes'!$E13="$000",1000,1))/IF($E63="$millions",1000000,IF($E63="$000",1000,1))</f>
        <v>0</v>
      </c>
      <c r="N63" s="82">
        <f>'Input|Step changes'!N13*INDEX('Input|Rate of change'!$C$14:$P$22,MATCH('Input|Step changes'!$F13,'Input|Rate of change'!$C$14:$C$22,0),MATCH('Calc|Opex forecast'!$F63,'Input|Rate of change'!$C$14:$P$14,0))*IF('Input|Step changes'!$E13="$millions",1000000,IF('Input|Step changes'!$E13="$000",1000,1))/IF($E63="$millions",1000000,IF($E63="$000",1000,1))</f>
        <v>0</v>
      </c>
      <c r="O63" s="82">
        <f>'Input|Step changes'!O13*INDEX('Input|Rate of change'!$C$14:$P$22,MATCH('Input|Step changes'!$F13,'Input|Rate of change'!$C$14:$C$22,0),MATCH('Calc|Opex forecast'!$F63,'Input|Rate of change'!$C$14:$P$14,0))*IF('Input|Step changes'!$E13="$millions",1000000,IF('Input|Step changes'!$E13="$000",1000,1))/IF($E63="$millions",1000000,IF($E63="$000",1000,1))</f>
        <v>0</v>
      </c>
      <c r="P63" s="82">
        <f>'Input|Step changes'!P13*INDEX('Input|Rate of change'!$C$14:$P$22,MATCH('Input|Step changes'!$F13,'Input|Rate of change'!$C$14:$C$22,0),MATCH('Calc|Opex forecast'!$F63,'Input|Rate of change'!$C$14:$P$14,0))*IF('Input|Step changes'!$E13="$millions",1000000,IF('Input|Step changes'!$E13="$000",1000,1))/IF($E63="$millions",1000000,IF($E63="$000",1000,1))</f>
        <v>0</v>
      </c>
      <c r="Q63" s="82">
        <f>'Input|Step changes'!Q13*INDEX('Input|Rate of change'!$C$14:$P$22,MATCH('Input|Step changes'!$F13,'Input|Rate of change'!$C$14:$C$22,0),MATCH('Calc|Opex forecast'!$F63,'Input|Rate of change'!$C$14:$P$14,0))*IF('Input|Step changes'!$E13="$millions",1000000,IF('Input|Step changes'!$E13="$000",1000,1))/IF($E63="$millions",1000000,IF($E63="$000",1000,1))</f>
        <v>0</v>
      </c>
      <c r="R63" s="82">
        <f>'Input|Step changes'!R13*INDEX('Input|Rate of change'!$C$14:$P$22,MATCH('Input|Step changes'!$F13,'Input|Rate of change'!$C$14:$C$22,0),MATCH('Calc|Opex forecast'!$F63,'Input|Rate of change'!$C$14:$P$14,0))*IF('Input|Step changes'!$E13="$millions",1000000,IF('Input|Step changes'!$E13="$000",1000,1))/IF($E63="$millions",1000000,IF($E63="$000",1000,1))</f>
        <v>0</v>
      </c>
      <c r="S63" s="82">
        <f>'Input|Step changes'!S13*INDEX('Input|Rate of change'!$C$14:$P$22,MATCH('Input|Step changes'!$F13,'Input|Rate of change'!$C$14:$C$22,0),MATCH('Calc|Opex forecast'!$F63,'Input|Rate of change'!$C$14:$P$14,0))*IF('Input|Step changes'!$E13="$millions",1000000,IF('Input|Step changes'!$E13="$000",1000,1))/IF($E63="$millions",1000000,IF($E63="$000",1000,1))</f>
        <v>0</v>
      </c>
      <c r="T63" s="82">
        <f>'Input|Step changes'!T13*INDEX('Input|Rate of change'!$C$14:$P$22,MATCH('Input|Step changes'!$F13,'Input|Rate of change'!$C$14:$C$22,0),MATCH('Calc|Opex forecast'!$F63,'Input|Rate of change'!$C$14:$P$14,0))*IF('Input|Step changes'!$E13="$millions",1000000,IF('Input|Step changes'!$E13="$000",1000,1))/IF($E63="$millions",1000000,IF($E63="$000",1000,1))</f>
        <v>0</v>
      </c>
      <c r="U63" s="8"/>
      <c r="V63" s="8"/>
      <c r="W63" s="8"/>
      <c r="X63" s="8"/>
    </row>
    <row r="64" spans="1:24" outlineLevel="1">
      <c r="A64" s="8"/>
      <c r="B64" s="8"/>
      <c r="C64" s="78" t="str">
        <f>'Input|Step changes'!C14</f>
        <v>Market Operations (MO) - Other Entity Costs</v>
      </c>
      <c r="D64" s="16" t="s">
        <v>68</v>
      </c>
      <c r="E64" s="16" t="str">
        <f t="shared" si="6"/>
        <v>$millions</v>
      </c>
      <c r="F64" s="101">
        <f t="shared" si="7"/>
        <v>45444</v>
      </c>
      <c r="G64" s="67" t="str">
        <f>'Input|Step changes'!G14</f>
        <v>Market Operations (MO)</v>
      </c>
      <c r="H64" s="67" t="str">
        <f>'Input|Step changes'!H14</f>
        <v>Market Operator</v>
      </c>
      <c r="I64" s="8" t="str">
        <f>'Input|Step changes'!I14</f>
        <v>Residual Costs</v>
      </c>
      <c r="J64" s="82">
        <f>'Input|Step changes'!J14*INDEX('Input|Rate of change'!$C$14:$P$22,MATCH('Input|Step changes'!$F14,'Input|Rate of change'!$C$14:$C$22,0),MATCH('Calc|Opex forecast'!$F64,'Input|Rate of change'!$C$14:$P$14,0))*IF('Input|Step changes'!$E14="$millions",1000000,IF('Input|Step changes'!$E14="$000",1000,1))/IF($E64="$millions",1000000,IF($E64="$000",1000,1))</f>
        <v>0</v>
      </c>
      <c r="K64" s="82">
        <f>'Input|Step changes'!K14*INDEX('Input|Rate of change'!$C$14:$P$22,MATCH('Input|Step changes'!$F14,'Input|Rate of change'!$C$14:$C$22,0),MATCH('Calc|Opex forecast'!$F64,'Input|Rate of change'!$C$14:$P$14,0))*IF('Input|Step changes'!$E14="$millions",1000000,IF('Input|Step changes'!$E14="$000",1000,1))/IF($E64="$millions",1000000,IF($E64="$000",1000,1))</f>
        <v>0</v>
      </c>
      <c r="L64" s="82">
        <f>'Input|Step changes'!L14*INDEX('Input|Rate of change'!$C$14:$P$22,MATCH('Input|Step changes'!$F14,'Input|Rate of change'!$C$14:$C$22,0),MATCH('Calc|Opex forecast'!$F64,'Input|Rate of change'!$C$14:$P$14,0))*IF('Input|Step changes'!$E14="$millions",1000000,IF('Input|Step changes'!$E14="$000",1000,1))/IF($E64="$millions",1000000,IF($E64="$000",1000,1))</f>
        <v>0</v>
      </c>
      <c r="M64" s="82">
        <f>'Input|Step changes'!M14*INDEX('Input|Rate of change'!$C$14:$P$22,MATCH('Input|Step changes'!$F14,'Input|Rate of change'!$C$14:$C$22,0),MATCH('Calc|Opex forecast'!$F64,'Input|Rate of change'!$C$14:$P$14,0))*IF('Input|Step changes'!$E14="$millions",1000000,IF('Input|Step changes'!$E14="$000",1000,1))/IF($E64="$millions",1000000,IF($E64="$000",1000,1))</f>
        <v>0</v>
      </c>
      <c r="N64" s="82">
        <f>'Input|Step changes'!N14*INDEX('Input|Rate of change'!$C$14:$P$22,MATCH('Input|Step changes'!$F14,'Input|Rate of change'!$C$14:$C$22,0),MATCH('Calc|Opex forecast'!$F64,'Input|Rate of change'!$C$14:$P$14,0))*IF('Input|Step changes'!$E14="$millions",1000000,IF('Input|Step changes'!$E14="$000",1000,1))/IF($E64="$millions",1000000,IF($E64="$000",1000,1))</f>
        <v>0</v>
      </c>
      <c r="O64" s="82">
        <f>'Input|Step changes'!O14*INDEX('Input|Rate of change'!$C$14:$P$22,MATCH('Input|Step changes'!$F14,'Input|Rate of change'!$C$14:$C$22,0),MATCH('Calc|Opex forecast'!$F64,'Input|Rate of change'!$C$14:$P$14,0))*IF('Input|Step changes'!$E14="$millions",1000000,IF('Input|Step changes'!$E14="$000",1000,1))/IF($E64="$millions",1000000,IF($E64="$000",1000,1))</f>
        <v>0.87740130461372134</v>
      </c>
      <c r="P64" s="82">
        <f>'Input|Step changes'!P14*INDEX('Input|Rate of change'!$C$14:$P$22,MATCH('Input|Step changes'!$F14,'Input|Rate of change'!$C$14:$C$22,0),MATCH('Calc|Opex forecast'!$F64,'Input|Rate of change'!$C$14:$P$14,0))*IF('Input|Step changes'!$E14="$millions",1000000,IF('Input|Step changes'!$E14="$000",1000,1))/IF($E64="$millions",1000000,IF($E64="$000",1000,1))</f>
        <v>1.0352836044308513</v>
      </c>
      <c r="Q64" s="82">
        <f>'Input|Step changes'!Q14*INDEX('Input|Rate of change'!$C$14:$P$22,MATCH('Input|Step changes'!$F14,'Input|Rate of change'!$C$14:$C$22,0),MATCH('Calc|Opex forecast'!$F64,'Input|Rate of change'!$C$14:$P$14,0))*IF('Input|Step changes'!$E14="$millions",1000000,IF('Input|Step changes'!$E14="$000",1000,1))/IF($E64="$millions",1000000,IF($E64="$000",1000,1))</f>
        <v>1.0449646554086272</v>
      </c>
      <c r="R64" s="82">
        <f>'Input|Step changes'!R14*INDEX('Input|Rate of change'!$C$14:$P$22,MATCH('Input|Step changes'!$F14,'Input|Rate of change'!$C$14:$C$22,0),MATCH('Calc|Opex forecast'!$F64,'Input|Rate of change'!$C$14:$P$14,0))*IF('Input|Step changes'!$E14="$millions",1000000,IF('Input|Step changes'!$E14="$000",1000,1))/IF($E64="$millions",1000000,IF($E64="$000",1000,1))</f>
        <v>0</v>
      </c>
      <c r="S64" s="82">
        <f>'Input|Step changes'!S14*INDEX('Input|Rate of change'!$C$14:$P$22,MATCH('Input|Step changes'!$F14,'Input|Rate of change'!$C$14:$C$22,0),MATCH('Calc|Opex forecast'!$F64,'Input|Rate of change'!$C$14:$P$14,0))*IF('Input|Step changes'!$E14="$millions",1000000,IF('Input|Step changes'!$E14="$000",1000,1))/IF($E64="$millions",1000000,IF($E64="$000",1000,1))</f>
        <v>0</v>
      </c>
      <c r="T64" s="82">
        <f>'Input|Step changes'!T14*INDEX('Input|Rate of change'!$C$14:$P$22,MATCH('Input|Step changes'!$F14,'Input|Rate of change'!$C$14:$C$22,0),MATCH('Calc|Opex forecast'!$F64,'Input|Rate of change'!$C$14:$P$14,0))*IF('Input|Step changes'!$E14="$millions",1000000,IF('Input|Step changes'!$E14="$000",1000,1))/IF($E64="$millions",1000000,IF($E64="$000",1000,1))</f>
        <v>0</v>
      </c>
      <c r="U64" s="8"/>
      <c r="V64" s="8"/>
      <c r="W64" s="8"/>
      <c r="X64" s="8"/>
    </row>
    <row r="65" spans="1:24" outlineLevel="1">
      <c r="A65" s="8"/>
      <c r="B65" s="8"/>
      <c r="C65" s="78">
        <f>'Input|Step changes'!C15</f>
        <v>0</v>
      </c>
      <c r="D65" s="16" t="s">
        <v>68</v>
      </c>
      <c r="E65" s="16" t="str">
        <f t="shared" si="6"/>
        <v>$millions</v>
      </c>
      <c r="F65" s="101">
        <f t="shared" si="7"/>
        <v>45444</v>
      </c>
      <c r="G65" s="67">
        <f>'Input|Step changes'!G15</f>
        <v>0</v>
      </c>
      <c r="H65" s="67">
        <f>'Input|Step changes'!H15</f>
        <v>0</v>
      </c>
      <c r="I65" s="8">
        <f>'Input|Step changes'!I15</f>
        <v>0</v>
      </c>
      <c r="J65" s="82">
        <f>'Input|Step changes'!J15*INDEX('Input|Rate of change'!$C$14:$P$22,MATCH('Input|Step changes'!$F15,'Input|Rate of change'!$C$14:$C$22,0),MATCH('Calc|Opex forecast'!$F65,'Input|Rate of change'!$C$14:$P$14,0))*IF('Input|Step changes'!$E15="$millions",1000000,IF('Input|Step changes'!$E15="$000",1000,1))/IF($E65="$millions",1000000,IF($E65="$000",1000,1))</f>
        <v>0</v>
      </c>
      <c r="K65" s="82">
        <f>'Input|Step changes'!K15*INDEX('Input|Rate of change'!$C$14:$P$22,MATCH('Input|Step changes'!$F15,'Input|Rate of change'!$C$14:$C$22,0),MATCH('Calc|Opex forecast'!$F65,'Input|Rate of change'!$C$14:$P$14,0))*IF('Input|Step changes'!$E15="$millions",1000000,IF('Input|Step changes'!$E15="$000",1000,1))/IF($E65="$millions",1000000,IF($E65="$000",1000,1))</f>
        <v>0</v>
      </c>
      <c r="L65" s="82">
        <f>'Input|Step changes'!L15*INDEX('Input|Rate of change'!$C$14:$P$22,MATCH('Input|Step changes'!$F15,'Input|Rate of change'!$C$14:$C$22,0),MATCH('Calc|Opex forecast'!$F65,'Input|Rate of change'!$C$14:$P$14,0))*IF('Input|Step changes'!$E15="$millions",1000000,IF('Input|Step changes'!$E15="$000",1000,1))/IF($E65="$millions",1000000,IF($E65="$000",1000,1))</f>
        <v>0</v>
      </c>
      <c r="M65" s="82">
        <f>'Input|Step changes'!M15*INDEX('Input|Rate of change'!$C$14:$P$22,MATCH('Input|Step changes'!$F15,'Input|Rate of change'!$C$14:$C$22,0),MATCH('Calc|Opex forecast'!$F65,'Input|Rate of change'!$C$14:$P$14,0))*IF('Input|Step changes'!$E15="$millions",1000000,IF('Input|Step changes'!$E15="$000",1000,1))/IF($E65="$millions",1000000,IF($E65="$000",1000,1))</f>
        <v>0</v>
      </c>
      <c r="N65" s="82">
        <f>'Input|Step changes'!N15*INDEX('Input|Rate of change'!$C$14:$P$22,MATCH('Input|Step changes'!$F15,'Input|Rate of change'!$C$14:$C$22,0),MATCH('Calc|Opex forecast'!$F65,'Input|Rate of change'!$C$14:$P$14,0))*IF('Input|Step changes'!$E15="$millions",1000000,IF('Input|Step changes'!$E15="$000",1000,1))/IF($E65="$millions",1000000,IF($E65="$000",1000,1))</f>
        <v>0</v>
      </c>
      <c r="O65" s="82">
        <f>'Input|Step changes'!O15*INDEX('Input|Rate of change'!$C$14:$P$22,MATCH('Input|Step changes'!$F15,'Input|Rate of change'!$C$14:$C$22,0),MATCH('Calc|Opex forecast'!$F65,'Input|Rate of change'!$C$14:$P$14,0))*IF('Input|Step changes'!$E15="$millions",1000000,IF('Input|Step changes'!$E15="$000",1000,1))/IF($E65="$millions",1000000,IF($E65="$000",1000,1))</f>
        <v>0</v>
      </c>
      <c r="P65" s="82">
        <f>'Input|Step changes'!P15*INDEX('Input|Rate of change'!$C$14:$P$22,MATCH('Input|Step changes'!$F15,'Input|Rate of change'!$C$14:$C$22,0),MATCH('Calc|Opex forecast'!$F65,'Input|Rate of change'!$C$14:$P$14,0))*IF('Input|Step changes'!$E15="$millions",1000000,IF('Input|Step changes'!$E15="$000",1000,1))/IF($E65="$millions",1000000,IF($E65="$000",1000,1))</f>
        <v>0</v>
      </c>
      <c r="Q65" s="82">
        <f>'Input|Step changes'!Q15*INDEX('Input|Rate of change'!$C$14:$P$22,MATCH('Input|Step changes'!$F15,'Input|Rate of change'!$C$14:$C$22,0),MATCH('Calc|Opex forecast'!$F65,'Input|Rate of change'!$C$14:$P$14,0))*IF('Input|Step changes'!$E15="$millions",1000000,IF('Input|Step changes'!$E15="$000",1000,1))/IF($E65="$millions",1000000,IF($E65="$000",1000,1))</f>
        <v>0</v>
      </c>
      <c r="R65" s="82">
        <f>'Input|Step changes'!R15*INDEX('Input|Rate of change'!$C$14:$P$22,MATCH('Input|Step changes'!$F15,'Input|Rate of change'!$C$14:$C$22,0),MATCH('Calc|Opex forecast'!$F65,'Input|Rate of change'!$C$14:$P$14,0))*IF('Input|Step changes'!$E15="$millions",1000000,IF('Input|Step changes'!$E15="$000",1000,1))/IF($E65="$millions",1000000,IF($E65="$000",1000,1))</f>
        <v>0</v>
      </c>
      <c r="S65" s="82">
        <f>'Input|Step changes'!S15*INDEX('Input|Rate of change'!$C$14:$P$22,MATCH('Input|Step changes'!$F15,'Input|Rate of change'!$C$14:$C$22,0),MATCH('Calc|Opex forecast'!$F65,'Input|Rate of change'!$C$14:$P$14,0))*IF('Input|Step changes'!$E15="$millions",1000000,IF('Input|Step changes'!$E15="$000",1000,1))/IF($E65="$millions",1000000,IF($E65="$000",1000,1))</f>
        <v>0</v>
      </c>
      <c r="T65" s="82">
        <f>'Input|Step changes'!T15*INDEX('Input|Rate of change'!$C$14:$P$22,MATCH('Input|Step changes'!$F15,'Input|Rate of change'!$C$14:$C$22,0),MATCH('Calc|Opex forecast'!$F65,'Input|Rate of change'!$C$14:$P$14,0))*IF('Input|Step changes'!$E15="$millions",1000000,IF('Input|Step changes'!$E15="$000",1000,1))/IF($E65="$millions",1000000,IF($E65="$000",1000,1))</f>
        <v>0</v>
      </c>
      <c r="U65" s="8"/>
      <c r="V65" s="8"/>
      <c r="W65" s="8"/>
      <c r="X65" s="8"/>
    </row>
    <row r="66" spans="1:24" outlineLevel="1">
      <c r="A66" s="8"/>
      <c r="B66" s="8"/>
      <c r="C66" s="78" t="str">
        <f>'Input|Step changes'!C16</f>
        <v>NTEM Development (MO) - Personnel Costs</v>
      </c>
      <c r="D66" s="16" t="s">
        <v>68</v>
      </c>
      <c r="E66" s="16" t="str">
        <f t="shared" si="6"/>
        <v>$millions</v>
      </c>
      <c r="F66" s="101">
        <f t="shared" si="7"/>
        <v>45444</v>
      </c>
      <c r="G66" s="67" t="str">
        <f>'Input|Step changes'!G16</f>
        <v>NTEM Development (MO)</v>
      </c>
      <c r="H66" s="67" t="str">
        <f>'Input|Step changes'!H16</f>
        <v>Market Operator</v>
      </c>
      <c r="I66" s="8" t="str">
        <f>'Input|Step changes'!I16</f>
        <v>Personnel Costs</v>
      </c>
      <c r="J66" s="82">
        <f>'Input|Step changes'!J16*INDEX('Input|Rate of change'!$C$14:$P$22,MATCH('Input|Step changes'!$F16,'Input|Rate of change'!$C$14:$C$22,0),MATCH('Calc|Opex forecast'!$F66,'Input|Rate of change'!$C$14:$P$14,0))*IF('Input|Step changes'!$E16="$millions",1000000,IF('Input|Step changes'!$E16="$000",1000,1))/IF($E66="$millions",1000000,IF($E66="$000",1000,1))</f>
        <v>0</v>
      </c>
      <c r="K66" s="82">
        <f>'Input|Step changes'!K16*INDEX('Input|Rate of change'!$C$14:$P$22,MATCH('Input|Step changes'!$F16,'Input|Rate of change'!$C$14:$C$22,0),MATCH('Calc|Opex forecast'!$F66,'Input|Rate of change'!$C$14:$P$14,0))*IF('Input|Step changes'!$E16="$millions",1000000,IF('Input|Step changes'!$E16="$000",1000,1))/IF($E66="$millions",1000000,IF($E66="$000",1000,1))</f>
        <v>0</v>
      </c>
      <c r="L66" s="82">
        <f>'Input|Step changes'!L16*INDEX('Input|Rate of change'!$C$14:$P$22,MATCH('Input|Step changes'!$F16,'Input|Rate of change'!$C$14:$C$22,0),MATCH('Calc|Opex forecast'!$F66,'Input|Rate of change'!$C$14:$P$14,0))*IF('Input|Step changes'!$E16="$millions",1000000,IF('Input|Step changes'!$E16="$000",1000,1))/IF($E66="$millions",1000000,IF($E66="$000",1000,1))</f>
        <v>0</v>
      </c>
      <c r="M66" s="82">
        <f>'Input|Step changes'!M16*INDEX('Input|Rate of change'!$C$14:$P$22,MATCH('Input|Step changes'!$F16,'Input|Rate of change'!$C$14:$C$22,0),MATCH('Calc|Opex forecast'!$F66,'Input|Rate of change'!$C$14:$P$14,0))*IF('Input|Step changes'!$E16="$millions",1000000,IF('Input|Step changes'!$E16="$000",1000,1))/IF($E66="$millions",1000000,IF($E66="$000",1000,1))</f>
        <v>0</v>
      </c>
      <c r="N66" s="82">
        <f>'Input|Step changes'!N16*INDEX('Input|Rate of change'!$C$14:$P$22,MATCH('Input|Step changes'!$F16,'Input|Rate of change'!$C$14:$C$22,0),MATCH('Calc|Opex forecast'!$F66,'Input|Rate of change'!$C$14:$P$14,0))*IF('Input|Step changes'!$E16="$millions",1000000,IF('Input|Step changes'!$E16="$000",1000,1))/IF($E66="$millions",1000000,IF($E66="$000",1000,1))</f>
        <v>0</v>
      </c>
      <c r="O66" s="82">
        <f>'Input|Step changes'!O16*INDEX('Input|Rate of change'!$C$14:$P$22,MATCH('Input|Step changes'!$F16,'Input|Rate of change'!$C$14:$C$22,0),MATCH('Calc|Opex forecast'!$F66,'Input|Rate of change'!$C$14:$P$14,0))*IF('Input|Step changes'!$E16="$millions",1000000,IF('Input|Step changes'!$E16="$000",1000,1))/IF($E66="$millions",1000000,IF($E66="$000",1000,1))</f>
        <v>0.33560307739110395</v>
      </c>
      <c r="P66" s="82">
        <f>'Input|Step changes'!P16*INDEX('Input|Rate of change'!$C$14:$P$22,MATCH('Input|Step changes'!$F16,'Input|Rate of change'!$C$14:$C$22,0),MATCH('Calc|Opex forecast'!$F66,'Input|Rate of change'!$C$14:$P$14,0))*IF('Input|Step changes'!$E16="$millions",1000000,IF('Input|Step changes'!$E16="$000",1000,1))/IF($E66="$millions",1000000,IF($E66="$000",1000,1))</f>
        <v>0.40535620716337384</v>
      </c>
      <c r="Q66" s="82">
        <f>'Input|Step changes'!Q16*INDEX('Input|Rate of change'!$C$14:$P$22,MATCH('Input|Step changes'!$F16,'Input|Rate of change'!$C$14:$C$22,0),MATCH('Calc|Opex forecast'!$F66,'Input|Rate of change'!$C$14:$P$14,0))*IF('Input|Step changes'!$E16="$millions",1000000,IF('Input|Step changes'!$E16="$000",1000,1))/IF($E66="$millions",1000000,IF($E66="$000",1000,1))</f>
        <v>0.40535620716337384</v>
      </c>
      <c r="R66" s="82">
        <f>'Input|Step changes'!R16*INDEX('Input|Rate of change'!$C$14:$P$22,MATCH('Input|Step changes'!$F16,'Input|Rate of change'!$C$14:$C$22,0),MATCH('Calc|Opex forecast'!$F66,'Input|Rate of change'!$C$14:$P$14,0))*IF('Input|Step changes'!$E16="$millions",1000000,IF('Input|Step changes'!$E16="$000",1000,1))/IF($E66="$millions",1000000,IF($E66="$000",1000,1))</f>
        <v>0</v>
      </c>
      <c r="S66" s="82">
        <f>'Input|Step changes'!S16*INDEX('Input|Rate of change'!$C$14:$P$22,MATCH('Input|Step changes'!$F16,'Input|Rate of change'!$C$14:$C$22,0),MATCH('Calc|Opex forecast'!$F66,'Input|Rate of change'!$C$14:$P$14,0))*IF('Input|Step changes'!$E16="$millions",1000000,IF('Input|Step changes'!$E16="$000",1000,1))/IF($E66="$millions",1000000,IF($E66="$000",1000,1))</f>
        <v>0</v>
      </c>
      <c r="T66" s="82">
        <f>'Input|Step changes'!T16*INDEX('Input|Rate of change'!$C$14:$P$22,MATCH('Input|Step changes'!$F16,'Input|Rate of change'!$C$14:$C$22,0),MATCH('Calc|Opex forecast'!$F66,'Input|Rate of change'!$C$14:$P$14,0))*IF('Input|Step changes'!$E16="$millions",1000000,IF('Input|Step changes'!$E16="$000",1000,1))/IF($E66="$millions",1000000,IF($E66="$000",1000,1))</f>
        <v>0</v>
      </c>
      <c r="U66" s="8"/>
      <c r="V66" s="8"/>
      <c r="W66" s="8"/>
      <c r="X66" s="8"/>
    </row>
    <row r="67" spans="1:24" outlineLevel="1">
      <c r="A67" s="8"/>
      <c r="B67" s="8"/>
      <c r="C67" s="78" t="str">
        <f>'Input|Step changes'!C17</f>
        <v>NTEM Development (MO) - Professional Fees</v>
      </c>
      <c r="D67" s="16" t="s">
        <v>68</v>
      </c>
      <c r="E67" s="16" t="str">
        <f t="shared" si="6"/>
        <v>$millions</v>
      </c>
      <c r="F67" s="101">
        <f t="shared" si="7"/>
        <v>45444</v>
      </c>
      <c r="G67" s="67" t="str">
        <f>'Input|Step changes'!G17</f>
        <v>NTEM Development (MO)</v>
      </c>
      <c r="H67" s="67" t="str">
        <f>'Input|Step changes'!H17</f>
        <v>Market Operator</v>
      </c>
      <c r="I67" s="8" t="str">
        <f>'Input|Step changes'!I17</f>
        <v>Professional Fees</v>
      </c>
      <c r="J67" s="82">
        <f>'Input|Step changes'!J17*INDEX('Input|Rate of change'!$C$14:$P$22,MATCH('Input|Step changes'!$F17,'Input|Rate of change'!$C$14:$C$22,0),MATCH('Calc|Opex forecast'!$F67,'Input|Rate of change'!$C$14:$P$14,0))*IF('Input|Step changes'!$E17="$millions",1000000,IF('Input|Step changes'!$E17="$000",1000,1))/IF($E67="$millions",1000000,IF($E67="$000",1000,1))</f>
        <v>0</v>
      </c>
      <c r="K67" s="82">
        <f>'Input|Step changes'!K17*INDEX('Input|Rate of change'!$C$14:$P$22,MATCH('Input|Step changes'!$F17,'Input|Rate of change'!$C$14:$C$22,0),MATCH('Calc|Opex forecast'!$F67,'Input|Rate of change'!$C$14:$P$14,0))*IF('Input|Step changes'!$E17="$millions",1000000,IF('Input|Step changes'!$E17="$000",1000,1))/IF($E67="$millions",1000000,IF($E67="$000",1000,1))</f>
        <v>0</v>
      </c>
      <c r="L67" s="82">
        <f>'Input|Step changes'!L17*INDEX('Input|Rate of change'!$C$14:$P$22,MATCH('Input|Step changes'!$F17,'Input|Rate of change'!$C$14:$C$22,0),MATCH('Calc|Opex forecast'!$F67,'Input|Rate of change'!$C$14:$P$14,0))*IF('Input|Step changes'!$E17="$millions",1000000,IF('Input|Step changes'!$E17="$000",1000,1))/IF($E67="$millions",1000000,IF($E67="$000",1000,1))</f>
        <v>0</v>
      </c>
      <c r="M67" s="82">
        <f>'Input|Step changes'!M17*INDEX('Input|Rate of change'!$C$14:$P$22,MATCH('Input|Step changes'!$F17,'Input|Rate of change'!$C$14:$C$22,0),MATCH('Calc|Opex forecast'!$F67,'Input|Rate of change'!$C$14:$P$14,0))*IF('Input|Step changes'!$E17="$millions",1000000,IF('Input|Step changes'!$E17="$000",1000,1))/IF($E67="$millions",1000000,IF($E67="$000",1000,1))</f>
        <v>0</v>
      </c>
      <c r="N67" s="82">
        <f>'Input|Step changes'!N17*INDEX('Input|Rate of change'!$C$14:$P$22,MATCH('Input|Step changes'!$F17,'Input|Rate of change'!$C$14:$C$22,0),MATCH('Calc|Opex forecast'!$F67,'Input|Rate of change'!$C$14:$P$14,0))*IF('Input|Step changes'!$E17="$millions",1000000,IF('Input|Step changes'!$E17="$000",1000,1))/IF($E67="$millions",1000000,IF($E67="$000",1000,1))</f>
        <v>0</v>
      </c>
      <c r="O67" s="82">
        <f>'Input|Step changes'!O17*INDEX('Input|Rate of change'!$C$14:$P$22,MATCH('Input|Step changes'!$F17,'Input|Rate of change'!$C$14:$C$22,0),MATCH('Calc|Opex forecast'!$F67,'Input|Rate of change'!$C$14:$P$14,0))*IF('Input|Step changes'!$E17="$millions",1000000,IF('Input|Step changes'!$E17="$000",1000,1))/IF($E67="$millions",1000000,IF($E67="$000",1000,1))</f>
        <v>0</v>
      </c>
      <c r="P67" s="82">
        <f>'Input|Step changes'!P17*INDEX('Input|Rate of change'!$C$14:$P$22,MATCH('Input|Step changes'!$F17,'Input|Rate of change'!$C$14:$C$22,0),MATCH('Calc|Opex forecast'!$F67,'Input|Rate of change'!$C$14:$P$14,0))*IF('Input|Step changes'!$E17="$millions",1000000,IF('Input|Step changes'!$E17="$000",1000,1))/IF($E67="$millions",1000000,IF($E67="$000",1000,1))</f>
        <v>0</v>
      </c>
      <c r="Q67" s="82">
        <f>'Input|Step changes'!Q17*INDEX('Input|Rate of change'!$C$14:$P$22,MATCH('Input|Step changes'!$F17,'Input|Rate of change'!$C$14:$C$22,0),MATCH('Calc|Opex forecast'!$F67,'Input|Rate of change'!$C$14:$P$14,0))*IF('Input|Step changes'!$E17="$millions",1000000,IF('Input|Step changes'!$E17="$000",1000,1))/IF($E67="$millions",1000000,IF($E67="$000",1000,1))</f>
        <v>0</v>
      </c>
      <c r="R67" s="82">
        <f>'Input|Step changes'!R17*INDEX('Input|Rate of change'!$C$14:$P$22,MATCH('Input|Step changes'!$F17,'Input|Rate of change'!$C$14:$C$22,0),MATCH('Calc|Opex forecast'!$F67,'Input|Rate of change'!$C$14:$P$14,0))*IF('Input|Step changes'!$E17="$millions",1000000,IF('Input|Step changes'!$E17="$000",1000,1))/IF($E67="$millions",1000000,IF($E67="$000",1000,1))</f>
        <v>0</v>
      </c>
      <c r="S67" s="82">
        <f>'Input|Step changes'!S17*INDEX('Input|Rate of change'!$C$14:$P$22,MATCH('Input|Step changes'!$F17,'Input|Rate of change'!$C$14:$C$22,0),MATCH('Calc|Opex forecast'!$F67,'Input|Rate of change'!$C$14:$P$14,0))*IF('Input|Step changes'!$E17="$millions",1000000,IF('Input|Step changes'!$E17="$000",1000,1))/IF($E67="$millions",1000000,IF($E67="$000",1000,1))</f>
        <v>0</v>
      </c>
      <c r="T67" s="82">
        <f>'Input|Step changes'!T17*INDEX('Input|Rate of change'!$C$14:$P$22,MATCH('Input|Step changes'!$F17,'Input|Rate of change'!$C$14:$C$22,0),MATCH('Calc|Opex forecast'!$F67,'Input|Rate of change'!$C$14:$P$14,0))*IF('Input|Step changes'!$E17="$millions",1000000,IF('Input|Step changes'!$E17="$000",1000,1))/IF($E67="$millions",1000000,IF($E67="$000",1000,1))</f>
        <v>0</v>
      </c>
      <c r="U67" s="8"/>
      <c r="V67" s="8"/>
      <c r="W67" s="8"/>
      <c r="X67" s="8"/>
    </row>
    <row r="68" spans="1:24" outlineLevel="1">
      <c r="A68" s="8"/>
      <c r="B68" s="8"/>
      <c r="C68" s="78" t="str">
        <f>'Input|Step changes'!C18</f>
        <v>NTEM Development (MO) - Other Entity Costs</v>
      </c>
      <c r="D68" s="16" t="s">
        <v>68</v>
      </c>
      <c r="E68" s="16" t="str">
        <f t="shared" si="6"/>
        <v>$millions</v>
      </c>
      <c r="F68" s="101">
        <f t="shared" si="7"/>
        <v>45444</v>
      </c>
      <c r="G68" s="67" t="str">
        <f>'Input|Step changes'!G18</f>
        <v>NTEM Development (MO)</v>
      </c>
      <c r="H68" s="67" t="str">
        <f>'Input|Step changes'!H18</f>
        <v>Market Operator</v>
      </c>
      <c r="I68" s="8" t="str">
        <f>'Input|Step changes'!I18</f>
        <v>Residual Costs</v>
      </c>
      <c r="J68" s="82">
        <f>'Input|Step changes'!J18*INDEX('Input|Rate of change'!$C$14:$P$22,MATCH('Input|Step changes'!$F18,'Input|Rate of change'!$C$14:$C$22,0),MATCH('Calc|Opex forecast'!$F68,'Input|Rate of change'!$C$14:$P$14,0))*IF('Input|Step changes'!$E18="$millions",1000000,IF('Input|Step changes'!$E18="$000",1000,1))/IF($E68="$millions",1000000,IF($E68="$000",1000,1))</f>
        <v>0</v>
      </c>
      <c r="K68" s="82">
        <f>'Input|Step changes'!K18*INDEX('Input|Rate of change'!$C$14:$P$22,MATCH('Input|Step changes'!$F18,'Input|Rate of change'!$C$14:$C$22,0),MATCH('Calc|Opex forecast'!$F68,'Input|Rate of change'!$C$14:$P$14,0))*IF('Input|Step changes'!$E18="$millions",1000000,IF('Input|Step changes'!$E18="$000",1000,1))/IF($E68="$millions",1000000,IF($E68="$000",1000,1))</f>
        <v>0</v>
      </c>
      <c r="L68" s="82">
        <f>'Input|Step changes'!L18*INDEX('Input|Rate of change'!$C$14:$P$22,MATCH('Input|Step changes'!$F18,'Input|Rate of change'!$C$14:$C$22,0),MATCH('Calc|Opex forecast'!$F68,'Input|Rate of change'!$C$14:$P$14,0))*IF('Input|Step changes'!$E18="$millions",1000000,IF('Input|Step changes'!$E18="$000",1000,1))/IF($E68="$millions",1000000,IF($E68="$000",1000,1))</f>
        <v>0</v>
      </c>
      <c r="M68" s="82">
        <f>'Input|Step changes'!M18*INDEX('Input|Rate of change'!$C$14:$P$22,MATCH('Input|Step changes'!$F18,'Input|Rate of change'!$C$14:$C$22,0),MATCH('Calc|Opex forecast'!$F68,'Input|Rate of change'!$C$14:$P$14,0))*IF('Input|Step changes'!$E18="$millions",1000000,IF('Input|Step changes'!$E18="$000",1000,1))/IF($E68="$millions",1000000,IF($E68="$000",1000,1))</f>
        <v>0</v>
      </c>
      <c r="N68" s="82">
        <f>'Input|Step changes'!N18*INDEX('Input|Rate of change'!$C$14:$P$22,MATCH('Input|Step changes'!$F18,'Input|Rate of change'!$C$14:$C$22,0),MATCH('Calc|Opex forecast'!$F68,'Input|Rate of change'!$C$14:$P$14,0))*IF('Input|Step changes'!$E18="$millions",1000000,IF('Input|Step changes'!$E18="$000",1000,1))/IF($E68="$millions",1000000,IF($E68="$000",1000,1))</f>
        <v>0</v>
      </c>
      <c r="O68" s="82">
        <f>'Input|Step changes'!O18*INDEX('Input|Rate of change'!$C$14:$P$22,MATCH('Input|Step changes'!$F18,'Input|Rate of change'!$C$14:$C$22,0),MATCH('Calc|Opex forecast'!$F68,'Input|Rate of change'!$C$14:$P$14,0))*IF('Input|Step changes'!$E18="$millions",1000000,IF('Input|Step changes'!$E18="$000",1000,1))/IF($E68="$millions",1000000,IF($E68="$000",1000,1))</f>
        <v>0</v>
      </c>
      <c r="P68" s="82">
        <f>'Input|Step changes'!P18*INDEX('Input|Rate of change'!$C$14:$P$22,MATCH('Input|Step changes'!$F18,'Input|Rate of change'!$C$14:$C$22,0),MATCH('Calc|Opex forecast'!$F68,'Input|Rate of change'!$C$14:$P$14,0))*IF('Input|Step changes'!$E18="$millions",1000000,IF('Input|Step changes'!$E18="$000",1000,1))/IF($E68="$millions",1000000,IF($E68="$000",1000,1))</f>
        <v>0</v>
      </c>
      <c r="Q68" s="82">
        <f>'Input|Step changes'!Q18*INDEX('Input|Rate of change'!$C$14:$P$22,MATCH('Input|Step changes'!$F18,'Input|Rate of change'!$C$14:$C$22,0),MATCH('Calc|Opex forecast'!$F68,'Input|Rate of change'!$C$14:$P$14,0))*IF('Input|Step changes'!$E18="$millions",1000000,IF('Input|Step changes'!$E18="$000",1000,1))/IF($E68="$millions",1000000,IF($E68="$000",1000,1))</f>
        <v>0</v>
      </c>
      <c r="R68" s="82">
        <f>'Input|Step changes'!R18*INDEX('Input|Rate of change'!$C$14:$P$22,MATCH('Input|Step changes'!$F18,'Input|Rate of change'!$C$14:$C$22,0),MATCH('Calc|Opex forecast'!$F68,'Input|Rate of change'!$C$14:$P$14,0))*IF('Input|Step changes'!$E18="$millions",1000000,IF('Input|Step changes'!$E18="$000",1000,1))/IF($E68="$millions",1000000,IF($E68="$000",1000,1))</f>
        <v>0</v>
      </c>
      <c r="S68" s="82">
        <f>'Input|Step changes'!S18*INDEX('Input|Rate of change'!$C$14:$P$22,MATCH('Input|Step changes'!$F18,'Input|Rate of change'!$C$14:$C$22,0),MATCH('Calc|Opex forecast'!$F68,'Input|Rate of change'!$C$14:$P$14,0))*IF('Input|Step changes'!$E18="$millions",1000000,IF('Input|Step changes'!$E18="$000",1000,1))/IF($E68="$millions",1000000,IF($E68="$000",1000,1))</f>
        <v>0</v>
      </c>
      <c r="T68" s="82">
        <f>'Input|Step changes'!T18*INDEX('Input|Rate of change'!$C$14:$P$22,MATCH('Input|Step changes'!$F18,'Input|Rate of change'!$C$14:$C$22,0),MATCH('Calc|Opex forecast'!$F68,'Input|Rate of change'!$C$14:$P$14,0))*IF('Input|Step changes'!$E18="$millions",1000000,IF('Input|Step changes'!$E18="$000",1000,1))/IF($E68="$millions",1000000,IF($E68="$000",1000,1))</f>
        <v>0</v>
      </c>
      <c r="U68" s="8"/>
      <c r="V68" s="8"/>
      <c r="W68" s="8"/>
      <c r="X68" s="8"/>
    </row>
    <row r="69" spans="1:24" outlineLevel="1">
      <c r="A69" s="8"/>
      <c r="B69" s="8"/>
      <c r="C69" s="78">
        <f>'Input|Step changes'!C19</f>
        <v>0</v>
      </c>
      <c r="D69" s="16" t="s">
        <v>68</v>
      </c>
      <c r="E69" s="16" t="str">
        <f t="shared" si="6"/>
        <v>$millions</v>
      </c>
      <c r="F69" s="101">
        <f t="shared" si="7"/>
        <v>45444</v>
      </c>
      <c r="G69" s="67">
        <f>'Input|Step changes'!G19</f>
        <v>0</v>
      </c>
      <c r="H69" s="67">
        <f>'Input|Step changes'!H19</f>
        <v>0</v>
      </c>
      <c r="I69" s="8">
        <f>'Input|Step changes'!I19</f>
        <v>0</v>
      </c>
      <c r="J69" s="82">
        <f>'Input|Step changes'!J19*INDEX('Input|Rate of change'!$C$14:$P$22,MATCH('Input|Step changes'!$F19,'Input|Rate of change'!$C$14:$C$22,0),MATCH('Calc|Opex forecast'!$F69,'Input|Rate of change'!$C$14:$P$14,0))*IF('Input|Step changes'!$E19="$millions",1000000,IF('Input|Step changes'!$E19="$000",1000,1))/IF($E69="$millions",1000000,IF($E69="$000",1000,1))</f>
        <v>0</v>
      </c>
      <c r="K69" s="82">
        <f>'Input|Step changes'!K19*INDEX('Input|Rate of change'!$C$14:$P$22,MATCH('Input|Step changes'!$F19,'Input|Rate of change'!$C$14:$C$22,0),MATCH('Calc|Opex forecast'!$F69,'Input|Rate of change'!$C$14:$P$14,0))*IF('Input|Step changes'!$E19="$millions",1000000,IF('Input|Step changes'!$E19="$000",1000,1))/IF($E69="$millions",1000000,IF($E69="$000",1000,1))</f>
        <v>0</v>
      </c>
      <c r="L69" s="82">
        <f>'Input|Step changes'!L19*INDEX('Input|Rate of change'!$C$14:$P$22,MATCH('Input|Step changes'!$F19,'Input|Rate of change'!$C$14:$C$22,0),MATCH('Calc|Opex forecast'!$F69,'Input|Rate of change'!$C$14:$P$14,0))*IF('Input|Step changes'!$E19="$millions",1000000,IF('Input|Step changes'!$E19="$000",1000,1))/IF($E69="$millions",1000000,IF($E69="$000",1000,1))</f>
        <v>0</v>
      </c>
      <c r="M69" s="82">
        <f>'Input|Step changes'!M19*INDEX('Input|Rate of change'!$C$14:$P$22,MATCH('Input|Step changes'!$F19,'Input|Rate of change'!$C$14:$C$22,0),MATCH('Calc|Opex forecast'!$F69,'Input|Rate of change'!$C$14:$P$14,0))*IF('Input|Step changes'!$E19="$millions",1000000,IF('Input|Step changes'!$E19="$000",1000,1))/IF($E69="$millions",1000000,IF($E69="$000",1000,1))</f>
        <v>0</v>
      </c>
      <c r="N69" s="82">
        <f>'Input|Step changes'!N19*INDEX('Input|Rate of change'!$C$14:$P$22,MATCH('Input|Step changes'!$F19,'Input|Rate of change'!$C$14:$C$22,0),MATCH('Calc|Opex forecast'!$F69,'Input|Rate of change'!$C$14:$P$14,0))*IF('Input|Step changes'!$E19="$millions",1000000,IF('Input|Step changes'!$E19="$000",1000,1))/IF($E69="$millions",1000000,IF($E69="$000",1000,1))</f>
        <v>0</v>
      </c>
      <c r="O69" s="82">
        <f>'Input|Step changes'!O19*INDEX('Input|Rate of change'!$C$14:$P$22,MATCH('Input|Step changes'!$F19,'Input|Rate of change'!$C$14:$C$22,0),MATCH('Calc|Opex forecast'!$F69,'Input|Rate of change'!$C$14:$P$14,0))*IF('Input|Step changes'!$E19="$millions",1000000,IF('Input|Step changes'!$E19="$000",1000,1))/IF($E69="$millions",1000000,IF($E69="$000",1000,1))</f>
        <v>0</v>
      </c>
      <c r="P69" s="82">
        <f>'Input|Step changes'!P19*INDEX('Input|Rate of change'!$C$14:$P$22,MATCH('Input|Step changes'!$F19,'Input|Rate of change'!$C$14:$C$22,0),MATCH('Calc|Opex forecast'!$F69,'Input|Rate of change'!$C$14:$P$14,0))*IF('Input|Step changes'!$E19="$millions",1000000,IF('Input|Step changes'!$E19="$000",1000,1))/IF($E69="$millions",1000000,IF($E69="$000",1000,1))</f>
        <v>0</v>
      </c>
      <c r="Q69" s="82">
        <f>'Input|Step changes'!Q19*INDEX('Input|Rate of change'!$C$14:$P$22,MATCH('Input|Step changes'!$F19,'Input|Rate of change'!$C$14:$C$22,0),MATCH('Calc|Opex forecast'!$F69,'Input|Rate of change'!$C$14:$P$14,0))*IF('Input|Step changes'!$E19="$millions",1000000,IF('Input|Step changes'!$E19="$000",1000,1))/IF($E69="$millions",1000000,IF($E69="$000",1000,1))</f>
        <v>0</v>
      </c>
      <c r="R69" s="82">
        <f>'Input|Step changes'!R19*INDEX('Input|Rate of change'!$C$14:$P$22,MATCH('Input|Step changes'!$F19,'Input|Rate of change'!$C$14:$C$22,0),MATCH('Calc|Opex forecast'!$F69,'Input|Rate of change'!$C$14:$P$14,0))*IF('Input|Step changes'!$E19="$millions",1000000,IF('Input|Step changes'!$E19="$000",1000,1))/IF($E69="$millions",1000000,IF($E69="$000",1000,1))</f>
        <v>0</v>
      </c>
      <c r="S69" s="82">
        <f>'Input|Step changes'!S19*INDEX('Input|Rate of change'!$C$14:$P$22,MATCH('Input|Step changes'!$F19,'Input|Rate of change'!$C$14:$C$22,0),MATCH('Calc|Opex forecast'!$F69,'Input|Rate of change'!$C$14:$P$14,0))*IF('Input|Step changes'!$E19="$millions",1000000,IF('Input|Step changes'!$E19="$000",1000,1))/IF($E69="$millions",1000000,IF($E69="$000",1000,1))</f>
        <v>0</v>
      </c>
      <c r="T69" s="82">
        <f>'Input|Step changes'!T19*INDEX('Input|Rate of change'!$C$14:$P$22,MATCH('Input|Step changes'!$F19,'Input|Rate of change'!$C$14:$C$22,0),MATCH('Calc|Opex forecast'!$F69,'Input|Rate of change'!$C$14:$P$14,0))*IF('Input|Step changes'!$E19="$millions",1000000,IF('Input|Step changes'!$E19="$000",1000,1))/IF($E69="$millions",1000000,IF($E69="$000",1000,1))</f>
        <v>0</v>
      </c>
      <c r="U69" s="8"/>
      <c r="V69" s="8"/>
      <c r="W69" s="8"/>
      <c r="X69" s="8"/>
    </row>
    <row r="70" spans="1:24" outlineLevel="1">
      <c r="A70" s="8"/>
      <c r="B70" s="8"/>
      <c r="C70" s="78" t="str">
        <f>'Input|Step changes'!C20</f>
        <v>Operations Planning (SC) - Personnel Costs</v>
      </c>
      <c r="D70" s="16" t="s">
        <v>68</v>
      </c>
      <c r="E70" s="16" t="str">
        <f t="shared" si="6"/>
        <v>$millions</v>
      </c>
      <c r="F70" s="101">
        <f t="shared" si="7"/>
        <v>45444</v>
      </c>
      <c r="G70" s="67" t="str">
        <f>'Input|Step changes'!G20</f>
        <v>Operations Planning (SC)</v>
      </c>
      <c r="H70" s="67" t="str">
        <f>'Input|Step changes'!H20</f>
        <v>System Control</v>
      </c>
      <c r="I70" s="8" t="str">
        <f>'Input|Step changes'!I20</f>
        <v>Personnel Costs</v>
      </c>
      <c r="J70" s="82">
        <f>'Input|Step changes'!J20*INDEX('Input|Rate of change'!$C$14:$P$22,MATCH('Input|Step changes'!$F20,'Input|Rate of change'!$C$14:$C$22,0),MATCH('Calc|Opex forecast'!$F70,'Input|Rate of change'!$C$14:$P$14,0))*IF('Input|Step changes'!$E20="$millions",1000000,IF('Input|Step changes'!$E20="$000",1000,1))/IF($E70="$millions",1000000,IF($E70="$000",1000,1))</f>
        <v>0</v>
      </c>
      <c r="K70" s="82">
        <f>'Input|Step changes'!K20*INDEX('Input|Rate of change'!$C$14:$P$22,MATCH('Input|Step changes'!$F20,'Input|Rate of change'!$C$14:$C$22,0),MATCH('Calc|Opex forecast'!$F70,'Input|Rate of change'!$C$14:$P$14,0))*IF('Input|Step changes'!$E20="$millions",1000000,IF('Input|Step changes'!$E20="$000",1000,1))/IF($E70="$millions",1000000,IF($E70="$000",1000,1))</f>
        <v>0</v>
      </c>
      <c r="L70" s="82">
        <f>'Input|Step changes'!L20*INDEX('Input|Rate of change'!$C$14:$P$22,MATCH('Input|Step changes'!$F20,'Input|Rate of change'!$C$14:$C$22,0),MATCH('Calc|Opex forecast'!$F70,'Input|Rate of change'!$C$14:$P$14,0))*IF('Input|Step changes'!$E20="$millions",1000000,IF('Input|Step changes'!$E20="$000",1000,1))/IF($E70="$millions",1000000,IF($E70="$000",1000,1))</f>
        <v>0</v>
      </c>
      <c r="M70" s="82">
        <f>'Input|Step changes'!M20*INDEX('Input|Rate of change'!$C$14:$P$22,MATCH('Input|Step changes'!$F20,'Input|Rate of change'!$C$14:$C$22,0),MATCH('Calc|Opex forecast'!$F70,'Input|Rate of change'!$C$14:$P$14,0))*IF('Input|Step changes'!$E20="$millions",1000000,IF('Input|Step changes'!$E20="$000",1000,1))/IF($E70="$millions",1000000,IF($E70="$000",1000,1))</f>
        <v>0</v>
      </c>
      <c r="N70" s="82">
        <f>'Input|Step changes'!N20*INDEX('Input|Rate of change'!$C$14:$P$22,MATCH('Input|Step changes'!$F20,'Input|Rate of change'!$C$14:$C$22,0),MATCH('Calc|Opex forecast'!$F70,'Input|Rate of change'!$C$14:$P$14,0))*IF('Input|Step changes'!$E20="$millions",1000000,IF('Input|Step changes'!$E20="$000",1000,1))/IF($E70="$millions",1000000,IF($E70="$000",1000,1))</f>
        <v>0</v>
      </c>
      <c r="O70" s="82">
        <f>'Input|Step changes'!O20*INDEX('Input|Rate of change'!$C$14:$P$22,MATCH('Input|Step changes'!$F20,'Input|Rate of change'!$C$14:$C$22,0),MATCH('Calc|Opex forecast'!$F70,'Input|Rate of change'!$C$14:$P$14,0))*IF('Input|Step changes'!$E20="$millions",1000000,IF('Input|Step changes'!$E20="$000",1000,1))/IF($E70="$millions",1000000,IF($E70="$000",1000,1))</f>
        <v>0.20172269069917392</v>
      </c>
      <c r="P70" s="82">
        <f>'Input|Step changes'!P20*INDEX('Input|Rate of change'!$C$14:$P$22,MATCH('Input|Step changes'!$F20,'Input|Rate of change'!$C$14:$C$22,0),MATCH('Calc|Opex forecast'!$F70,'Input|Rate of change'!$C$14:$P$14,0))*IF('Input|Step changes'!$E20="$millions",1000000,IF('Input|Step changes'!$E20="$000",1000,1))/IF($E70="$millions",1000000,IF($E70="$000",1000,1))</f>
        <v>0.20172269069917392</v>
      </c>
      <c r="Q70" s="82">
        <f>'Input|Step changes'!Q20*INDEX('Input|Rate of change'!$C$14:$P$22,MATCH('Input|Step changes'!$F20,'Input|Rate of change'!$C$14:$C$22,0),MATCH('Calc|Opex forecast'!$F70,'Input|Rate of change'!$C$14:$P$14,0))*IF('Input|Step changes'!$E20="$millions",1000000,IF('Input|Step changes'!$E20="$000",1000,1))/IF($E70="$millions",1000000,IF($E70="$000",1000,1))</f>
        <v>0.20172269069917392</v>
      </c>
      <c r="R70" s="82">
        <f>'Input|Step changes'!R20*INDEX('Input|Rate of change'!$C$14:$P$22,MATCH('Input|Step changes'!$F20,'Input|Rate of change'!$C$14:$C$22,0),MATCH('Calc|Opex forecast'!$F70,'Input|Rate of change'!$C$14:$P$14,0))*IF('Input|Step changes'!$E20="$millions",1000000,IF('Input|Step changes'!$E20="$000",1000,1))/IF($E70="$millions",1000000,IF($E70="$000",1000,1))</f>
        <v>0</v>
      </c>
      <c r="S70" s="82">
        <f>'Input|Step changes'!S20*INDEX('Input|Rate of change'!$C$14:$P$22,MATCH('Input|Step changes'!$F20,'Input|Rate of change'!$C$14:$C$22,0),MATCH('Calc|Opex forecast'!$F70,'Input|Rate of change'!$C$14:$P$14,0))*IF('Input|Step changes'!$E20="$millions",1000000,IF('Input|Step changes'!$E20="$000",1000,1))/IF($E70="$millions",1000000,IF($E70="$000",1000,1))</f>
        <v>0</v>
      </c>
      <c r="T70" s="82">
        <f>'Input|Step changes'!T20*INDEX('Input|Rate of change'!$C$14:$P$22,MATCH('Input|Step changes'!$F20,'Input|Rate of change'!$C$14:$C$22,0),MATCH('Calc|Opex forecast'!$F70,'Input|Rate of change'!$C$14:$P$14,0))*IF('Input|Step changes'!$E20="$millions",1000000,IF('Input|Step changes'!$E20="$000",1000,1))/IF($E70="$millions",1000000,IF($E70="$000",1000,1))</f>
        <v>0</v>
      </c>
      <c r="U70" s="8"/>
      <c r="V70" s="8"/>
      <c r="W70" s="8"/>
      <c r="X70" s="8"/>
    </row>
    <row r="71" spans="1:24" outlineLevel="1">
      <c r="A71" s="8"/>
      <c r="B71" s="8"/>
      <c r="C71" s="78">
        <f>'Input|Step changes'!C21</f>
        <v>0</v>
      </c>
      <c r="D71" s="16" t="s">
        <v>68</v>
      </c>
      <c r="E71" s="16" t="str">
        <f t="shared" si="6"/>
        <v>$millions</v>
      </c>
      <c r="F71" s="101">
        <f t="shared" si="7"/>
        <v>45444</v>
      </c>
      <c r="G71" s="67">
        <f>'Input|Step changes'!G21</f>
        <v>0</v>
      </c>
      <c r="H71" s="67">
        <f>'Input|Step changes'!H21</f>
        <v>0</v>
      </c>
      <c r="I71" s="8">
        <f>'Input|Step changes'!I21</f>
        <v>0</v>
      </c>
      <c r="J71" s="82">
        <f>'Input|Step changes'!J21*INDEX('Input|Rate of change'!$C$14:$P$22,MATCH('Input|Step changes'!$F21,'Input|Rate of change'!$C$14:$C$22,0),MATCH('Calc|Opex forecast'!$F71,'Input|Rate of change'!$C$14:$P$14,0))*IF('Input|Step changes'!$E21="$millions",1000000,IF('Input|Step changes'!$E21="$000",1000,1))/IF($E71="$millions",1000000,IF($E71="$000",1000,1))</f>
        <v>0</v>
      </c>
      <c r="K71" s="82">
        <f>'Input|Step changes'!K21*INDEX('Input|Rate of change'!$C$14:$P$22,MATCH('Input|Step changes'!$F21,'Input|Rate of change'!$C$14:$C$22,0),MATCH('Calc|Opex forecast'!$F71,'Input|Rate of change'!$C$14:$P$14,0))*IF('Input|Step changes'!$E21="$millions",1000000,IF('Input|Step changes'!$E21="$000",1000,1))/IF($E71="$millions",1000000,IF($E71="$000",1000,1))</f>
        <v>0</v>
      </c>
      <c r="L71" s="82">
        <f>'Input|Step changes'!L21*INDEX('Input|Rate of change'!$C$14:$P$22,MATCH('Input|Step changes'!$F21,'Input|Rate of change'!$C$14:$C$22,0),MATCH('Calc|Opex forecast'!$F71,'Input|Rate of change'!$C$14:$P$14,0))*IF('Input|Step changes'!$E21="$millions",1000000,IF('Input|Step changes'!$E21="$000",1000,1))/IF($E71="$millions",1000000,IF($E71="$000",1000,1))</f>
        <v>0</v>
      </c>
      <c r="M71" s="82">
        <f>'Input|Step changes'!M21*INDEX('Input|Rate of change'!$C$14:$P$22,MATCH('Input|Step changes'!$F21,'Input|Rate of change'!$C$14:$C$22,0),MATCH('Calc|Opex forecast'!$F71,'Input|Rate of change'!$C$14:$P$14,0))*IF('Input|Step changes'!$E21="$millions",1000000,IF('Input|Step changes'!$E21="$000",1000,1))/IF($E71="$millions",1000000,IF($E71="$000",1000,1))</f>
        <v>0</v>
      </c>
      <c r="N71" s="82">
        <f>'Input|Step changes'!N21*INDEX('Input|Rate of change'!$C$14:$P$22,MATCH('Input|Step changes'!$F21,'Input|Rate of change'!$C$14:$C$22,0),MATCH('Calc|Opex forecast'!$F71,'Input|Rate of change'!$C$14:$P$14,0))*IF('Input|Step changes'!$E21="$millions",1000000,IF('Input|Step changes'!$E21="$000",1000,1))/IF($E71="$millions",1000000,IF($E71="$000",1000,1))</f>
        <v>0</v>
      </c>
      <c r="O71" s="82">
        <f>'Input|Step changes'!O21*INDEX('Input|Rate of change'!$C$14:$P$22,MATCH('Input|Step changes'!$F21,'Input|Rate of change'!$C$14:$C$22,0),MATCH('Calc|Opex forecast'!$F71,'Input|Rate of change'!$C$14:$P$14,0))*IF('Input|Step changes'!$E21="$millions",1000000,IF('Input|Step changes'!$E21="$000",1000,1))/IF($E71="$millions",1000000,IF($E71="$000",1000,1))</f>
        <v>0</v>
      </c>
      <c r="P71" s="82">
        <f>'Input|Step changes'!P21*INDEX('Input|Rate of change'!$C$14:$P$22,MATCH('Input|Step changes'!$F21,'Input|Rate of change'!$C$14:$C$22,0),MATCH('Calc|Opex forecast'!$F71,'Input|Rate of change'!$C$14:$P$14,0))*IF('Input|Step changes'!$E21="$millions",1000000,IF('Input|Step changes'!$E21="$000",1000,1))/IF($E71="$millions",1000000,IF($E71="$000",1000,1))</f>
        <v>0</v>
      </c>
      <c r="Q71" s="82">
        <f>'Input|Step changes'!Q21*INDEX('Input|Rate of change'!$C$14:$P$22,MATCH('Input|Step changes'!$F21,'Input|Rate of change'!$C$14:$C$22,0),MATCH('Calc|Opex forecast'!$F71,'Input|Rate of change'!$C$14:$P$14,0))*IF('Input|Step changes'!$E21="$millions",1000000,IF('Input|Step changes'!$E21="$000",1000,1))/IF($E71="$millions",1000000,IF($E71="$000",1000,1))</f>
        <v>0</v>
      </c>
      <c r="R71" s="82">
        <f>'Input|Step changes'!R21*INDEX('Input|Rate of change'!$C$14:$P$22,MATCH('Input|Step changes'!$F21,'Input|Rate of change'!$C$14:$C$22,0),MATCH('Calc|Opex forecast'!$F71,'Input|Rate of change'!$C$14:$P$14,0))*IF('Input|Step changes'!$E21="$millions",1000000,IF('Input|Step changes'!$E21="$000",1000,1))/IF($E71="$millions",1000000,IF($E71="$000",1000,1))</f>
        <v>0</v>
      </c>
      <c r="S71" s="82">
        <f>'Input|Step changes'!S21*INDEX('Input|Rate of change'!$C$14:$P$22,MATCH('Input|Step changes'!$F21,'Input|Rate of change'!$C$14:$C$22,0),MATCH('Calc|Opex forecast'!$F71,'Input|Rate of change'!$C$14:$P$14,0))*IF('Input|Step changes'!$E21="$millions",1000000,IF('Input|Step changes'!$E21="$000",1000,1))/IF($E71="$millions",1000000,IF($E71="$000",1000,1))</f>
        <v>0</v>
      </c>
      <c r="T71" s="82">
        <f>'Input|Step changes'!T21*INDEX('Input|Rate of change'!$C$14:$P$22,MATCH('Input|Step changes'!$F21,'Input|Rate of change'!$C$14:$C$22,0),MATCH('Calc|Opex forecast'!$F71,'Input|Rate of change'!$C$14:$P$14,0))*IF('Input|Step changes'!$E21="$millions",1000000,IF('Input|Step changes'!$E21="$000",1000,1))/IF($E71="$millions",1000000,IF($E71="$000",1000,1))</f>
        <v>0</v>
      </c>
      <c r="U71" s="8"/>
      <c r="V71" s="8"/>
      <c r="W71" s="8"/>
      <c r="X71" s="8"/>
    </row>
    <row r="72" spans="1:24" outlineLevel="1">
      <c r="A72" s="8"/>
      <c r="B72" s="8"/>
      <c r="C72" s="78" t="str">
        <f>'Input|Step changes'!C22</f>
        <v>Power System Evolution (SC) - Personnel Costs</v>
      </c>
      <c r="D72" s="16" t="s">
        <v>68</v>
      </c>
      <c r="E72" s="16" t="str">
        <f t="shared" si="6"/>
        <v>$millions</v>
      </c>
      <c r="F72" s="101">
        <f t="shared" si="7"/>
        <v>45444</v>
      </c>
      <c r="G72" s="67" t="str">
        <f>'Input|Step changes'!G22</f>
        <v>Power System Evolution (SC)</v>
      </c>
      <c r="H72" s="67" t="str">
        <f>'Input|Step changes'!H22</f>
        <v>System Control</v>
      </c>
      <c r="I72" s="8" t="str">
        <f>'Input|Step changes'!I22</f>
        <v>Personnel Costs</v>
      </c>
      <c r="J72" s="82">
        <f>'Input|Step changes'!J22*INDEX('Input|Rate of change'!$C$14:$P$22,MATCH('Input|Step changes'!$F22,'Input|Rate of change'!$C$14:$C$22,0),MATCH('Calc|Opex forecast'!$F72,'Input|Rate of change'!$C$14:$P$14,0))*IF('Input|Step changes'!$E22="$millions",1000000,IF('Input|Step changes'!$E22="$000",1000,1))/IF($E72="$millions",1000000,IF($E72="$000",1000,1))</f>
        <v>0</v>
      </c>
      <c r="K72" s="82">
        <f>'Input|Step changes'!K22*INDEX('Input|Rate of change'!$C$14:$P$22,MATCH('Input|Step changes'!$F22,'Input|Rate of change'!$C$14:$C$22,0),MATCH('Calc|Opex forecast'!$F72,'Input|Rate of change'!$C$14:$P$14,0))*IF('Input|Step changes'!$E22="$millions",1000000,IF('Input|Step changes'!$E22="$000",1000,1))/IF($E72="$millions",1000000,IF($E72="$000",1000,1))</f>
        <v>0</v>
      </c>
      <c r="L72" s="82">
        <f>'Input|Step changes'!L22*INDEX('Input|Rate of change'!$C$14:$P$22,MATCH('Input|Step changes'!$F22,'Input|Rate of change'!$C$14:$C$22,0),MATCH('Calc|Opex forecast'!$F72,'Input|Rate of change'!$C$14:$P$14,0))*IF('Input|Step changes'!$E22="$millions",1000000,IF('Input|Step changes'!$E22="$000",1000,1))/IF($E72="$millions",1000000,IF($E72="$000",1000,1))</f>
        <v>0</v>
      </c>
      <c r="M72" s="82">
        <f>'Input|Step changes'!M22*INDEX('Input|Rate of change'!$C$14:$P$22,MATCH('Input|Step changes'!$F22,'Input|Rate of change'!$C$14:$C$22,0),MATCH('Calc|Opex forecast'!$F72,'Input|Rate of change'!$C$14:$P$14,0))*IF('Input|Step changes'!$E22="$millions",1000000,IF('Input|Step changes'!$E22="$000",1000,1))/IF($E72="$millions",1000000,IF($E72="$000",1000,1))</f>
        <v>0</v>
      </c>
      <c r="N72" s="82">
        <f>'Input|Step changes'!N22*INDEX('Input|Rate of change'!$C$14:$P$22,MATCH('Input|Step changes'!$F22,'Input|Rate of change'!$C$14:$C$22,0),MATCH('Calc|Opex forecast'!$F72,'Input|Rate of change'!$C$14:$P$14,0))*IF('Input|Step changes'!$E22="$millions",1000000,IF('Input|Step changes'!$E22="$000",1000,1))/IF($E72="$millions",1000000,IF($E72="$000",1000,1))</f>
        <v>0</v>
      </c>
      <c r="O72" s="82">
        <f>'Input|Step changes'!O22*INDEX('Input|Rate of change'!$C$14:$P$22,MATCH('Input|Step changes'!$F22,'Input|Rate of change'!$C$14:$C$22,0),MATCH('Calc|Opex forecast'!$F72,'Input|Rate of change'!$C$14:$P$14,0))*IF('Input|Step changes'!$E22="$millions",1000000,IF('Input|Step changes'!$E22="$000",1000,1))/IF($E72="$millions",1000000,IF($E72="$000",1000,1))</f>
        <v>1.1705439509219502</v>
      </c>
      <c r="P72" s="82">
        <f>'Input|Step changes'!P22*INDEX('Input|Rate of change'!$C$14:$P$22,MATCH('Input|Step changes'!$F22,'Input|Rate of change'!$C$14:$C$22,0),MATCH('Calc|Opex forecast'!$F72,'Input|Rate of change'!$C$14:$P$14,0))*IF('Input|Step changes'!$E22="$millions",1000000,IF('Input|Step changes'!$E22="$000",1000,1))/IF($E72="$millions",1000000,IF($E72="$000",1000,1))</f>
        <v>1.2824157187124283</v>
      </c>
      <c r="Q72" s="82">
        <f>'Input|Step changes'!Q22*INDEX('Input|Rate of change'!$C$14:$P$22,MATCH('Input|Step changes'!$F22,'Input|Rate of change'!$C$14:$C$22,0),MATCH('Calc|Opex forecast'!$F72,'Input|Rate of change'!$C$14:$P$14,0))*IF('Input|Step changes'!$E22="$millions",1000000,IF('Input|Step changes'!$E22="$000",1000,1))/IF($E72="$millions",1000000,IF($E72="$000",1000,1))</f>
        <v>1.2824157187124283</v>
      </c>
      <c r="R72" s="82">
        <f>'Input|Step changes'!R22*INDEX('Input|Rate of change'!$C$14:$P$22,MATCH('Input|Step changes'!$F22,'Input|Rate of change'!$C$14:$C$22,0),MATCH('Calc|Opex forecast'!$F72,'Input|Rate of change'!$C$14:$P$14,0))*IF('Input|Step changes'!$E22="$millions",1000000,IF('Input|Step changes'!$E22="$000",1000,1))/IF($E72="$millions",1000000,IF($E72="$000",1000,1))</f>
        <v>0</v>
      </c>
      <c r="S72" s="82">
        <f>'Input|Step changes'!S22*INDEX('Input|Rate of change'!$C$14:$P$22,MATCH('Input|Step changes'!$F22,'Input|Rate of change'!$C$14:$C$22,0),MATCH('Calc|Opex forecast'!$F72,'Input|Rate of change'!$C$14:$P$14,0))*IF('Input|Step changes'!$E22="$millions",1000000,IF('Input|Step changes'!$E22="$000",1000,1))/IF($E72="$millions",1000000,IF($E72="$000",1000,1))</f>
        <v>0</v>
      </c>
      <c r="T72" s="82">
        <f>'Input|Step changes'!T22*INDEX('Input|Rate of change'!$C$14:$P$22,MATCH('Input|Step changes'!$F22,'Input|Rate of change'!$C$14:$C$22,0),MATCH('Calc|Opex forecast'!$F72,'Input|Rate of change'!$C$14:$P$14,0))*IF('Input|Step changes'!$E22="$millions",1000000,IF('Input|Step changes'!$E22="$000",1000,1))/IF($E72="$millions",1000000,IF($E72="$000",1000,1))</f>
        <v>0</v>
      </c>
      <c r="U72" s="8"/>
      <c r="V72" s="8"/>
      <c r="W72" s="8"/>
      <c r="X72" s="8"/>
    </row>
    <row r="73" spans="1:24" outlineLevel="1">
      <c r="A73" s="8"/>
      <c r="B73" s="8"/>
      <c r="C73" s="78" t="str">
        <f>'Input|Step changes'!C23</f>
        <v>Power System Evolution (SC) - Professional Fees</v>
      </c>
      <c r="D73" s="16" t="s">
        <v>68</v>
      </c>
      <c r="E73" s="16" t="str">
        <f t="shared" si="6"/>
        <v>$millions</v>
      </c>
      <c r="F73" s="101">
        <f t="shared" si="7"/>
        <v>45444</v>
      </c>
      <c r="G73" s="67" t="str">
        <f>'Input|Step changes'!G23</f>
        <v>Power System Evolution (SC)</v>
      </c>
      <c r="H73" s="67" t="str">
        <f>'Input|Step changes'!H23</f>
        <v>System Control</v>
      </c>
      <c r="I73" s="8" t="str">
        <f>'Input|Step changes'!I23</f>
        <v>Professional Fees</v>
      </c>
      <c r="J73" s="82">
        <f>'Input|Step changes'!J23*INDEX('Input|Rate of change'!$C$14:$P$22,MATCH('Input|Step changes'!$F23,'Input|Rate of change'!$C$14:$C$22,0),MATCH('Calc|Opex forecast'!$F73,'Input|Rate of change'!$C$14:$P$14,0))*IF('Input|Step changes'!$E23="$millions",1000000,IF('Input|Step changes'!$E23="$000",1000,1))/IF($E73="$millions",1000000,IF($E73="$000",1000,1))</f>
        <v>0</v>
      </c>
      <c r="K73" s="82">
        <f>'Input|Step changes'!K23*INDEX('Input|Rate of change'!$C$14:$P$22,MATCH('Input|Step changes'!$F23,'Input|Rate of change'!$C$14:$C$22,0),MATCH('Calc|Opex forecast'!$F73,'Input|Rate of change'!$C$14:$P$14,0))*IF('Input|Step changes'!$E23="$millions",1000000,IF('Input|Step changes'!$E23="$000",1000,1))/IF($E73="$millions",1000000,IF($E73="$000",1000,1))</f>
        <v>0</v>
      </c>
      <c r="L73" s="82">
        <f>'Input|Step changes'!L23*INDEX('Input|Rate of change'!$C$14:$P$22,MATCH('Input|Step changes'!$F23,'Input|Rate of change'!$C$14:$C$22,0),MATCH('Calc|Opex forecast'!$F73,'Input|Rate of change'!$C$14:$P$14,0))*IF('Input|Step changes'!$E23="$millions",1000000,IF('Input|Step changes'!$E23="$000",1000,1))/IF($E73="$millions",1000000,IF($E73="$000",1000,1))</f>
        <v>0</v>
      </c>
      <c r="M73" s="82">
        <f>'Input|Step changes'!M23*INDEX('Input|Rate of change'!$C$14:$P$22,MATCH('Input|Step changes'!$F23,'Input|Rate of change'!$C$14:$C$22,0),MATCH('Calc|Opex forecast'!$F73,'Input|Rate of change'!$C$14:$P$14,0))*IF('Input|Step changes'!$E23="$millions",1000000,IF('Input|Step changes'!$E23="$000",1000,1))/IF($E73="$millions",1000000,IF($E73="$000",1000,1))</f>
        <v>0</v>
      </c>
      <c r="N73" s="82">
        <f>'Input|Step changes'!N23*INDEX('Input|Rate of change'!$C$14:$P$22,MATCH('Input|Step changes'!$F23,'Input|Rate of change'!$C$14:$C$22,0),MATCH('Calc|Opex forecast'!$F73,'Input|Rate of change'!$C$14:$P$14,0))*IF('Input|Step changes'!$E23="$millions",1000000,IF('Input|Step changes'!$E23="$000",1000,1))/IF($E73="$millions",1000000,IF($E73="$000",1000,1))</f>
        <v>0</v>
      </c>
      <c r="O73" s="82">
        <f>'Input|Step changes'!O23*INDEX('Input|Rate of change'!$C$14:$P$22,MATCH('Input|Step changes'!$F23,'Input|Rate of change'!$C$14:$C$22,0),MATCH('Calc|Opex forecast'!$F73,'Input|Rate of change'!$C$14:$P$14,0))*IF('Input|Step changes'!$E23="$millions",1000000,IF('Input|Step changes'!$E23="$000",1000,1))/IF($E73="$millions",1000000,IF($E73="$000",1000,1))</f>
        <v>0.38049407274628883</v>
      </c>
      <c r="P73" s="82">
        <f>'Input|Step changes'!P23*INDEX('Input|Rate of change'!$C$14:$P$22,MATCH('Input|Step changes'!$F23,'Input|Rate of change'!$C$14:$C$22,0),MATCH('Calc|Opex forecast'!$F73,'Input|Rate of change'!$C$14:$P$14,0))*IF('Input|Step changes'!$E23="$millions",1000000,IF('Input|Step changes'!$E23="$000",1000,1))/IF($E73="$millions",1000000,IF($E73="$000",1000,1))</f>
        <v>0.86942356860776104</v>
      </c>
      <c r="Q73" s="82">
        <f>'Input|Step changes'!Q23*INDEX('Input|Rate of change'!$C$14:$P$22,MATCH('Input|Step changes'!$F23,'Input|Rate of change'!$C$14:$C$22,0),MATCH('Calc|Opex forecast'!$F73,'Input|Rate of change'!$C$14:$P$14,0))*IF('Input|Step changes'!$E23="$millions",1000000,IF('Input|Step changes'!$E23="$000",1000,1))/IF($E73="$millions",1000000,IF($E73="$000",1000,1))</f>
        <v>0.86942356860776104</v>
      </c>
      <c r="R73" s="82">
        <f>'Input|Step changes'!R23*INDEX('Input|Rate of change'!$C$14:$P$22,MATCH('Input|Step changes'!$F23,'Input|Rate of change'!$C$14:$C$22,0),MATCH('Calc|Opex forecast'!$F73,'Input|Rate of change'!$C$14:$P$14,0))*IF('Input|Step changes'!$E23="$millions",1000000,IF('Input|Step changes'!$E23="$000",1000,1))/IF($E73="$millions",1000000,IF($E73="$000",1000,1))</f>
        <v>0</v>
      </c>
      <c r="S73" s="82">
        <f>'Input|Step changes'!S23*INDEX('Input|Rate of change'!$C$14:$P$22,MATCH('Input|Step changes'!$F23,'Input|Rate of change'!$C$14:$C$22,0),MATCH('Calc|Opex forecast'!$F73,'Input|Rate of change'!$C$14:$P$14,0))*IF('Input|Step changes'!$E23="$millions",1000000,IF('Input|Step changes'!$E23="$000",1000,1))/IF($E73="$millions",1000000,IF($E73="$000",1000,1))</f>
        <v>0</v>
      </c>
      <c r="T73" s="82">
        <f>'Input|Step changes'!T23*INDEX('Input|Rate of change'!$C$14:$P$22,MATCH('Input|Step changes'!$F23,'Input|Rate of change'!$C$14:$C$22,0),MATCH('Calc|Opex forecast'!$F73,'Input|Rate of change'!$C$14:$P$14,0))*IF('Input|Step changes'!$E23="$millions",1000000,IF('Input|Step changes'!$E23="$000",1000,1))/IF($E73="$millions",1000000,IF($E73="$000",1000,1))</f>
        <v>0</v>
      </c>
      <c r="U73" s="8"/>
      <c r="V73" s="8"/>
      <c r="W73" s="8"/>
      <c r="X73" s="8"/>
    </row>
    <row r="74" spans="1:24" outlineLevel="1">
      <c r="A74" s="8"/>
      <c r="B74" s="8"/>
      <c r="C74" s="78" t="str">
        <f>'Input|Step changes'!C24</f>
        <v>Power System Evolution (SC) - Other Entity Costs</v>
      </c>
      <c r="D74" s="16" t="s">
        <v>68</v>
      </c>
      <c r="E74" s="16" t="str">
        <f t="shared" si="6"/>
        <v>$millions</v>
      </c>
      <c r="F74" s="101">
        <f t="shared" si="7"/>
        <v>45444</v>
      </c>
      <c r="G74" s="67" t="str">
        <f>'Input|Step changes'!G24</f>
        <v>Power System Evolution (SC)</v>
      </c>
      <c r="H74" s="67" t="str">
        <f>'Input|Step changes'!H24</f>
        <v>System Control</v>
      </c>
      <c r="I74" s="8" t="str">
        <f>'Input|Step changes'!I24</f>
        <v>Residual Costs</v>
      </c>
      <c r="J74" s="82">
        <f>'Input|Step changes'!J24*INDEX('Input|Rate of change'!$C$14:$P$22,MATCH('Input|Step changes'!$F24,'Input|Rate of change'!$C$14:$C$22,0),MATCH('Calc|Opex forecast'!$F74,'Input|Rate of change'!$C$14:$P$14,0))*IF('Input|Step changes'!$E24="$millions",1000000,IF('Input|Step changes'!$E24="$000",1000,1))/IF($E74="$millions",1000000,IF($E74="$000",1000,1))</f>
        <v>0</v>
      </c>
      <c r="K74" s="82">
        <f>'Input|Step changes'!K24*INDEX('Input|Rate of change'!$C$14:$P$22,MATCH('Input|Step changes'!$F24,'Input|Rate of change'!$C$14:$C$22,0),MATCH('Calc|Opex forecast'!$F74,'Input|Rate of change'!$C$14:$P$14,0))*IF('Input|Step changes'!$E24="$millions",1000000,IF('Input|Step changes'!$E24="$000",1000,1))/IF($E74="$millions",1000000,IF($E74="$000",1000,1))</f>
        <v>0</v>
      </c>
      <c r="L74" s="82">
        <f>'Input|Step changes'!L24*INDEX('Input|Rate of change'!$C$14:$P$22,MATCH('Input|Step changes'!$F24,'Input|Rate of change'!$C$14:$C$22,0),MATCH('Calc|Opex forecast'!$F74,'Input|Rate of change'!$C$14:$P$14,0))*IF('Input|Step changes'!$E24="$millions",1000000,IF('Input|Step changes'!$E24="$000",1000,1))/IF($E74="$millions",1000000,IF($E74="$000",1000,1))</f>
        <v>0</v>
      </c>
      <c r="M74" s="82">
        <f>'Input|Step changes'!M24*INDEX('Input|Rate of change'!$C$14:$P$22,MATCH('Input|Step changes'!$F24,'Input|Rate of change'!$C$14:$C$22,0),MATCH('Calc|Opex forecast'!$F74,'Input|Rate of change'!$C$14:$P$14,0))*IF('Input|Step changes'!$E24="$millions",1000000,IF('Input|Step changes'!$E24="$000",1000,1))/IF($E74="$millions",1000000,IF($E74="$000",1000,1))</f>
        <v>0</v>
      </c>
      <c r="N74" s="82">
        <f>'Input|Step changes'!N24*INDEX('Input|Rate of change'!$C$14:$P$22,MATCH('Input|Step changes'!$F24,'Input|Rate of change'!$C$14:$C$22,0),MATCH('Calc|Opex forecast'!$F74,'Input|Rate of change'!$C$14:$P$14,0))*IF('Input|Step changes'!$E24="$millions",1000000,IF('Input|Step changes'!$E24="$000",1000,1))/IF($E74="$millions",1000000,IF($E74="$000",1000,1))</f>
        <v>0</v>
      </c>
      <c r="O74" s="82">
        <f>'Input|Step changes'!O24*INDEX('Input|Rate of change'!$C$14:$P$22,MATCH('Input|Step changes'!$F24,'Input|Rate of change'!$C$14:$C$22,0),MATCH('Calc|Opex forecast'!$F74,'Input|Rate of change'!$C$14:$P$14,0))*IF('Input|Step changes'!$E24="$millions",1000000,IF('Input|Step changes'!$E24="$000",1000,1))/IF($E74="$millions",1000000,IF($E74="$000",1000,1))</f>
        <v>0.84529330232303079</v>
      </c>
      <c r="P74" s="82">
        <f>'Input|Step changes'!P24*INDEX('Input|Rate of change'!$C$14:$P$22,MATCH('Input|Step changes'!$F24,'Input|Rate of change'!$C$14:$C$22,0),MATCH('Calc|Opex forecast'!$F74,'Input|Rate of change'!$C$14:$P$14,0))*IF('Input|Step changes'!$E24="$millions",1000000,IF('Input|Step changes'!$E24="$000",1000,1))/IF($E74="$millions",1000000,IF($E74="$000",1000,1))</f>
        <v>0.76169368681439298</v>
      </c>
      <c r="Q74" s="82">
        <f>'Input|Step changes'!Q24*INDEX('Input|Rate of change'!$C$14:$P$22,MATCH('Input|Step changes'!$F24,'Input|Rate of change'!$C$14:$C$22,0),MATCH('Calc|Opex forecast'!$F74,'Input|Rate of change'!$C$14:$P$14,0))*IF('Input|Step changes'!$E24="$millions",1000000,IF('Input|Step changes'!$E24="$000",1000,1))/IF($E74="$millions",1000000,IF($E74="$000",1000,1))</f>
        <v>0.74195761427468643</v>
      </c>
      <c r="R74" s="82">
        <f>'Input|Step changes'!R24*INDEX('Input|Rate of change'!$C$14:$P$22,MATCH('Input|Step changes'!$F24,'Input|Rate of change'!$C$14:$C$22,0),MATCH('Calc|Opex forecast'!$F74,'Input|Rate of change'!$C$14:$P$14,0))*IF('Input|Step changes'!$E24="$millions",1000000,IF('Input|Step changes'!$E24="$000",1000,1))/IF($E74="$millions",1000000,IF($E74="$000",1000,1))</f>
        <v>0</v>
      </c>
      <c r="S74" s="82">
        <f>'Input|Step changes'!S24*INDEX('Input|Rate of change'!$C$14:$P$22,MATCH('Input|Step changes'!$F24,'Input|Rate of change'!$C$14:$C$22,0),MATCH('Calc|Opex forecast'!$F74,'Input|Rate of change'!$C$14:$P$14,0))*IF('Input|Step changes'!$E24="$millions",1000000,IF('Input|Step changes'!$E24="$000",1000,1))/IF($E74="$millions",1000000,IF($E74="$000",1000,1))</f>
        <v>0</v>
      </c>
      <c r="T74" s="82">
        <f>'Input|Step changes'!T24*INDEX('Input|Rate of change'!$C$14:$P$22,MATCH('Input|Step changes'!$F24,'Input|Rate of change'!$C$14:$C$22,0),MATCH('Calc|Opex forecast'!$F74,'Input|Rate of change'!$C$14:$P$14,0))*IF('Input|Step changes'!$E24="$millions",1000000,IF('Input|Step changes'!$E24="$000",1000,1))/IF($E74="$millions",1000000,IF($E74="$000",1000,1))</f>
        <v>0</v>
      </c>
      <c r="U74" s="8"/>
      <c r="V74" s="8"/>
      <c r="W74" s="8"/>
      <c r="X74" s="8"/>
    </row>
    <row r="75" spans="1:24" outlineLevel="1">
      <c r="A75" s="8"/>
      <c r="B75" s="8"/>
      <c r="C75" s="78">
        <f>'Input|Step changes'!C25</f>
        <v>0</v>
      </c>
      <c r="D75" s="16" t="s">
        <v>68</v>
      </c>
      <c r="E75" s="16" t="str">
        <f t="shared" si="6"/>
        <v>$millions</v>
      </c>
      <c r="F75" s="101">
        <f t="shared" si="7"/>
        <v>45444</v>
      </c>
      <c r="G75" s="67">
        <f>'Input|Step changes'!G25</f>
        <v>0</v>
      </c>
      <c r="H75" s="67">
        <f>'Input|Step changes'!H25</f>
        <v>0</v>
      </c>
      <c r="I75" s="8">
        <f>'Input|Step changes'!I25</f>
        <v>0</v>
      </c>
      <c r="J75" s="82">
        <f>'Input|Step changes'!J25*INDEX('Input|Rate of change'!$C$14:$P$22,MATCH('Input|Step changes'!$F25,'Input|Rate of change'!$C$14:$C$22,0),MATCH('Calc|Opex forecast'!$F75,'Input|Rate of change'!$C$14:$P$14,0))*IF('Input|Step changes'!$E25="$millions",1000000,IF('Input|Step changes'!$E25="$000",1000,1))/IF($E75="$millions",1000000,IF($E75="$000",1000,1))</f>
        <v>0</v>
      </c>
      <c r="K75" s="82">
        <f>'Input|Step changes'!K25*INDEX('Input|Rate of change'!$C$14:$P$22,MATCH('Input|Step changes'!$F25,'Input|Rate of change'!$C$14:$C$22,0),MATCH('Calc|Opex forecast'!$F75,'Input|Rate of change'!$C$14:$P$14,0))*IF('Input|Step changes'!$E25="$millions",1000000,IF('Input|Step changes'!$E25="$000",1000,1))/IF($E75="$millions",1000000,IF($E75="$000",1000,1))</f>
        <v>0</v>
      </c>
      <c r="L75" s="82">
        <f>'Input|Step changes'!L25*INDEX('Input|Rate of change'!$C$14:$P$22,MATCH('Input|Step changes'!$F25,'Input|Rate of change'!$C$14:$C$22,0),MATCH('Calc|Opex forecast'!$F75,'Input|Rate of change'!$C$14:$P$14,0))*IF('Input|Step changes'!$E25="$millions",1000000,IF('Input|Step changes'!$E25="$000",1000,1))/IF($E75="$millions",1000000,IF($E75="$000",1000,1))</f>
        <v>0</v>
      </c>
      <c r="M75" s="82">
        <f>'Input|Step changes'!M25*INDEX('Input|Rate of change'!$C$14:$P$22,MATCH('Input|Step changes'!$F25,'Input|Rate of change'!$C$14:$C$22,0),MATCH('Calc|Opex forecast'!$F75,'Input|Rate of change'!$C$14:$P$14,0))*IF('Input|Step changes'!$E25="$millions",1000000,IF('Input|Step changes'!$E25="$000",1000,1))/IF($E75="$millions",1000000,IF($E75="$000",1000,1))</f>
        <v>0</v>
      </c>
      <c r="N75" s="82">
        <f>'Input|Step changes'!N25*INDEX('Input|Rate of change'!$C$14:$P$22,MATCH('Input|Step changes'!$F25,'Input|Rate of change'!$C$14:$C$22,0),MATCH('Calc|Opex forecast'!$F75,'Input|Rate of change'!$C$14:$P$14,0))*IF('Input|Step changes'!$E25="$millions",1000000,IF('Input|Step changes'!$E25="$000",1000,1))/IF($E75="$millions",1000000,IF($E75="$000",1000,1))</f>
        <v>0</v>
      </c>
      <c r="O75" s="82">
        <f>'Input|Step changes'!O25*INDEX('Input|Rate of change'!$C$14:$P$22,MATCH('Input|Step changes'!$F25,'Input|Rate of change'!$C$14:$C$22,0),MATCH('Calc|Opex forecast'!$F75,'Input|Rate of change'!$C$14:$P$14,0))*IF('Input|Step changes'!$E25="$millions",1000000,IF('Input|Step changes'!$E25="$000",1000,1))/IF($E75="$millions",1000000,IF($E75="$000",1000,1))</f>
        <v>0</v>
      </c>
      <c r="P75" s="82">
        <f>'Input|Step changes'!P25*INDEX('Input|Rate of change'!$C$14:$P$22,MATCH('Input|Step changes'!$F25,'Input|Rate of change'!$C$14:$C$22,0),MATCH('Calc|Opex forecast'!$F75,'Input|Rate of change'!$C$14:$P$14,0))*IF('Input|Step changes'!$E25="$millions",1000000,IF('Input|Step changes'!$E25="$000",1000,1))/IF($E75="$millions",1000000,IF($E75="$000",1000,1))</f>
        <v>0</v>
      </c>
      <c r="Q75" s="82">
        <f>'Input|Step changes'!Q25*INDEX('Input|Rate of change'!$C$14:$P$22,MATCH('Input|Step changes'!$F25,'Input|Rate of change'!$C$14:$C$22,0),MATCH('Calc|Opex forecast'!$F75,'Input|Rate of change'!$C$14:$P$14,0))*IF('Input|Step changes'!$E25="$millions",1000000,IF('Input|Step changes'!$E25="$000",1000,1))/IF($E75="$millions",1000000,IF($E75="$000",1000,1))</f>
        <v>0</v>
      </c>
      <c r="R75" s="82">
        <f>'Input|Step changes'!R25*INDEX('Input|Rate of change'!$C$14:$P$22,MATCH('Input|Step changes'!$F25,'Input|Rate of change'!$C$14:$C$22,0),MATCH('Calc|Opex forecast'!$F75,'Input|Rate of change'!$C$14:$P$14,0))*IF('Input|Step changes'!$E25="$millions",1000000,IF('Input|Step changes'!$E25="$000",1000,1))/IF($E75="$millions",1000000,IF($E75="$000",1000,1))</f>
        <v>0</v>
      </c>
      <c r="S75" s="82">
        <f>'Input|Step changes'!S25*INDEX('Input|Rate of change'!$C$14:$P$22,MATCH('Input|Step changes'!$F25,'Input|Rate of change'!$C$14:$C$22,0),MATCH('Calc|Opex forecast'!$F75,'Input|Rate of change'!$C$14:$P$14,0))*IF('Input|Step changes'!$E25="$millions",1000000,IF('Input|Step changes'!$E25="$000",1000,1))/IF($E75="$millions",1000000,IF($E75="$000",1000,1))</f>
        <v>0</v>
      </c>
      <c r="T75" s="82">
        <f>'Input|Step changes'!T25*INDEX('Input|Rate of change'!$C$14:$P$22,MATCH('Input|Step changes'!$F25,'Input|Rate of change'!$C$14:$C$22,0),MATCH('Calc|Opex forecast'!$F75,'Input|Rate of change'!$C$14:$P$14,0))*IF('Input|Step changes'!$E25="$millions",1000000,IF('Input|Step changes'!$E25="$000",1000,1))/IF($E75="$millions",1000000,IF($E75="$000",1000,1))</f>
        <v>0</v>
      </c>
      <c r="U75" s="8"/>
      <c r="V75" s="8"/>
      <c r="W75" s="8"/>
      <c r="X75" s="8"/>
    </row>
    <row r="76" spans="1:24" outlineLevel="1">
      <c r="A76" s="8"/>
      <c r="B76" s="8"/>
      <c r="C76" s="78" t="str">
        <f>'Input|Step changes'!C26</f>
        <v>Real Time Operations (SC) - Personnel Costs</v>
      </c>
      <c r="D76" s="16" t="s">
        <v>68</v>
      </c>
      <c r="E76" s="16" t="str">
        <f t="shared" si="6"/>
        <v>$millions</v>
      </c>
      <c r="F76" s="101">
        <f t="shared" si="7"/>
        <v>45444</v>
      </c>
      <c r="G76" s="67" t="str">
        <f>'Input|Step changes'!G26</f>
        <v>Real Time Operations (SC)</v>
      </c>
      <c r="H76" s="67" t="str">
        <f>'Input|Step changes'!H26</f>
        <v>System Control</v>
      </c>
      <c r="I76" s="8" t="str">
        <f>'Input|Step changes'!I26</f>
        <v>Personnel Costs</v>
      </c>
      <c r="J76" s="82">
        <f>'Input|Step changes'!J26*INDEX('Input|Rate of change'!$C$14:$P$22,MATCH('Input|Step changes'!$F26,'Input|Rate of change'!$C$14:$C$22,0),MATCH('Calc|Opex forecast'!$F76,'Input|Rate of change'!$C$14:$P$14,0))*IF('Input|Step changes'!$E26="$millions",1000000,IF('Input|Step changes'!$E26="$000",1000,1))/IF($E76="$millions",1000000,IF($E76="$000",1000,1))</f>
        <v>0</v>
      </c>
      <c r="K76" s="82">
        <f>'Input|Step changes'!K26*INDEX('Input|Rate of change'!$C$14:$P$22,MATCH('Input|Step changes'!$F26,'Input|Rate of change'!$C$14:$C$22,0),MATCH('Calc|Opex forecast'!$F76,'Input|Rate of change'!$C$14:$P$14,0))*IF('Input|Step changes'!$E26="$millions",1000000,IF('Input|Step changes'!$E26="$000",1000,1))/IF($E76="$millions",1000000,IF($E76="$000",1000,1))</f>
        <v>0</v>
      </c>
      <c r="L76" s="82">
        <f>'Input|Step changes'!L26*INDEX('Input|Rate of change'!$C$14:$P$22,MATCH('Input|Step changes'!$F26,'Input|Rate of change'!$C$14:$C$22,0),MATCH('Calc|Opex forecast'!$F76,'Input|Rate of change'!$C$14:$P$14,0))*IF('Input|Step changes'!$E26="$millions",1000000,IF('Input|Step changes'!$E26="$000",1000,1))/IF($E76="$millions",1000000,IF($E76="$000",1000,1))</f>
        <v>0</v>
      </c>
      <c r="M76" s="82">
        <f>'Input|Step changes'!M26*INDEX('Input|Rate of change'!$C$14:$P$22,MATCH('Input|Step changes'!$F26,'Input|Rate of change'!$C$14:$C$22,0),MATCH('Calc|Opex forecast'!$F76,'Input|Rate of change'!$C$14:$P$14,0))*IF('Input|Step changes'!$E26="$millions",1000000,IF('Input|Step changes'!$E26="$000",1000,1))/IF($E76="$millions",1000000,IF($E76="$000",1000,1))</f>
        <v>0</v>
      </c>
      <c r="N76" s="82">
        <f>'Input|Step changes'!N26*INDEX('Input|Rate of change'!$C$14:$P$22,MATCH('Input|Step changes'!$F26,'Input|Rate of change'!$C$14:$C$22,0),MATCH('Calc|Opex forecast'!$F76,'Input|Rate of change'!$C$14:$P$14,0))*IF('Input|Step changes'!$E26="$millions",1000000,IF('Input|Step changes'!$E26="$000",1000,1))/IF($E76="$millions",1000000,IF($E76="$000",1000,1))</f>
        <v>0</v>
      </c>
      <c r="O76" s="82">
        <f>'Input|Step changes'!O26*INDEX('Input|Rate of change'!$C$14:$P$22,MATCH('Input|Step changes'!$F26,'Input|Rate of change'!$C$14:$C$22,0),MATCH('Calc|Opex forecast'!$F76,'Input|Rate of change'!$C$14:$P$14,0))*IF('Input|Step changes'!$E26="$millions",1000000,IF('Input|Step changes'!$E26="$000",1000,1))/IF($E76="$millions",1000000,IF($E76="$000",1000,1))</f>
        <v>0.16850164750667465</v>
      </c>
      <c r="P76" s="82">
        <f>'Input|Step changes'!P26*INDEX('Input|Rate of change'!$C$14:$P$22,MATCH('Input|Step changes'!$F26,'Input|Rate of change'!$C$14:$C$22,0),MATCH('Calc|Opex forecast'!$F76,'Input|Rate of change'!$C$14:$P$14,0))*IF('Input|Step changes'!$E26="$millions",1000000,IF('Input|Step changes'!$E26="$000",1000,1))/IF($E76="$millions",1000000,IF($E76="$000",1000,1))</f>
        <v>0.26904040294668602</v>
      </c>
      <c r="Q76" s="82">
        <f>'Input|Step changes'!Q26*INDEX('Input|Rate of change'!$C$14:$P$22,MATCH('Input|Step changes'!$F26,'Input|Rate of change'!$C$14:$C$22,0),MATCH('Calc|Opex forecast'!$F76,'Input|Rate of change'!$C$14:$P$14,0))*IF('Input|Step changes'!$E26="$millions",1000000,IF('Input|Step changes'!$E26="$000",1000,1))/IF($E76="$millions",1000000,IF($E76="$000",1000,1))</f>
        <v>0.26904040294668602</v>
      </c>
      <c r="R76" s="82">
        <f>'Input|Step changes'!R26*INDEX('Input|Rate of change'!$C$14:$P$22,MATCH('Input|Step changes'!$F26,'Input|Rate of change'!$C$14:$C$22,0),MATCH('Calc|Opex forecast'!$F76,'Input|Rate of change'!$C$14:$P$14,0))*IF('Input|Step changes'!$E26="$millions",1000000,IF('Input|Step changes'!$E26="$000",1000,1))/IF($E76="$millions",1000000,IF($E76="$000",1000,1))</f>
        <v>0</v>
      </c>
      <c r="S76" s="82">
        <f>'Input|Step changes'!S26*INDEX('Input|Rate of change'!$C$14:$P$22,MATCH('Input|Step changes'!$F26,'Input|Rate of change'!$C$14:$C$22,0),MATCH('Calc|Opex forecast'!$F76,'Input|Rate of change'!$C$14:$P$14,0))*IF('Input|Step changes'!$E26="$millions",1000000,IF('Input|Step changes'!$E26="$000",1000,1))/IF($E76="$millions",1000000,IF($E76="$000",1000,1))</f>
        <v>0</v>
      </c>
      <c r="T76" s="82">
        <f>'Input|Step changes'!T26*INDEX('Input|Rate of change'!$C$14:$P$22,MATCH('Input|Step changes'!$F26,'Input|Rate of change'!$C$14:$C$22,0),MATCH('Calc|Opex forecast'!$F76,'Input|Rate of change'!$C$14:$P$14,0))*IF('Input|Step changes'!$E26="$millions",1000000,IF('Input|Step changes'!$E26="$000",1000,1))/IF($E76="$millions",1000000,IF($E76="$000",1000,1))</f>
        <v>0</v>
      </c>
      <c r="U76" s="8"/>
      <c r="V76" s="8"/>
      <c r="W76" s="8"/>
      <c r="X76" s="8"/>
    </row>
    <row r="77" spans="1:24" outlineLevel="1">
      <c r="A77" s="8"/>
      <c r="B77" s="8"/>
      <c r="C77" s="78">
        <f>'Input|Step changes'!C27</f>
        <v>0</v>
      </c>
      <c r="D77" s="16" t="s">
        <v>68</v>
      </c>
      <c r="E77" s="16" t="str">
        <f t="shared" si="6"/>
        <v>$millions</v>
      </c>
      <c r="F77" s="101">
        <f t="shared" si="7"/>
        <v>45444</v>
      </c>
      <c r="G77" s="67">
        <f>'Input|Step changes'!G27</f>
        <v>0</v>
      </c>
      <c r="H77" s="67">
        <f>'Input|Step changes'!H27</f>
        <v>0</v>
      </c>
      <c r="I77" s="8">
        <f>'Input|Step changes'!I27</f>
        <v>0</v>
      </c>
      <c r="J77" s="82">
        <f>'Input|Step changes'!J27*INDEX('Input|Rate of change'!$C$14:$P$22,MATCH('Input|Step changes'!$F27,'Input|Rate of change'!$C$14:$C$22,0),MATCH('Calc|Opex forecast'!$F77,'Input|Rate of change'!$C$14:$P$14,0))*IF('Input|Step changes'!$E27="$millions",1000000,IF('Input|Step changes'!$E27="$000",1000,1))/IF($E77="$millions",1000000,IF($E77="$000",1000,1))</f>
        <v>0</v>
      </c>
      <c r="K77" s="82">
        <f>'Input|Step changes'!K27*INDEX('Input|Rate of change'!$C$14:$P$22,MATCH('Input|Step changes'!$F27,'Input|Rate of change'!$C$14:$C$22,0),MATCH('Calc|Opex forecast'!$F77,'Input|Rate of change'!$C$14:$P$14,0))*IF('Input|Step changes'!$E27="$millions",1000000,IF('Input|Step changes'!$E27="$000",1000,1))/IF($E77="$millions",1000000,IF($E77="$000",1000,1))</f>
        <v>0</v>
      </c>
      <c r="L77" s="82">
        <f>'Input|Step changes'!L27*INDEX('Input|Rate of change'!$C$14:$P$22,MATCH('Input|Step changes'!$F27,'Input|Rate of change'!$C$14:$C$22,0),MATCH('Calc|Opex forecast'!$F77,'Input|Rate of change'!$C$14:$P$14,0))*IF('Input|Step changes'!$E27="$millions",1000000,IF('Input|Step changes'!$E27="$000",1000,1))/IF($E77="$millions",1000000,IF($E77="$000",1000,1))</f>
        <v>0</v>
      </c>
      <c r="M77" s="82">
        <f>'Input|Step changes'!M27*INDEX('Input|Rate of change'!$C$14:$P$22,MATCH('Input|Step changes'!$F27,'Input|Rate of change'!$C$14:$C$22,0),MATCH('Calc|Opex forecast'!$F77,'Input|Rate of change'!$C$14:$P$14,0))*IF('Input|Step changes'!$E27="$millions",1000000,IF('Input|Step changes'!$E27="$000",1000,1))/IF($E77="$millions",1000000,IF($E77="$000",1000,1))</f>
        <v>0</v>
      </c>
      <c r="N77" s="82">
        <f>'Input|Step changes'!N27*INDEX('Input|Rate of change'!$C$14:$P$22,MATCH('Input|Step changes'!$F27,'Input|Rate of change'!$C$14:$C$22,0),MATCH('Calc|Opex forecast'!$F77,'Input|Rate of change'!$C$14:$P$14,0))*IF('Input|Step changes'!$E27="$millions",1000000,IF('Input|Step changes'!$E27="$000",1000,1))/IF($E77="$millions",1000000,IF($E77="$000",1000,1))</f>
        <v>0</v>
      </c>
      <c r="O77" s="82">
        <f>'Input|Step changes'!O27*INDEX('Input|Rate of change'!$C$14:$P$22,MATCH('Input|Step changes'!$F27,'Input|Rate of change'!$C$14:$C$22,0),MATCH('Calc|Opex forecast'!$F77,'Input|Rate of change'!$C$14:$P$14,0))*IF('Input|Step changes'!$E27="$millions",1000000,IF('Input|Step changes'!$E27="$000",1000,1))/IF($E77="$millions",1000000,IF($E77="$000",1000,1))</f>
        <v>0</v>
      </c>
      <c r="P77" s="82">
        <f>'Input|Step changes'!P27*INDEX('Input|Rate of change'!$C$14:$P$22,MATCH('Input|Step changes'!$F27,'Input|Rate of change'!$C$14:$C$22,0),MATCH('Calc|Opex forecast'!$F77,'Input|Rate of change'!$C$14:$P$14,0))*IF('Input|Step changes'!$E27="$millions",1000000,IF('Input|Step changes'!$E27="$000",1000,1))/IF($E77="$millions",1000000,IF($E77="$000",1000,1))</f>
        <v>0</v>
      </c>
      <c r="Q77" s="82">
        <f>'Input|Step changes'!Q27*INDEX('Input|Rate of change'!$C$14:$P$22,MATCH('Input|Step changes'!$F27,'Input|Rate of change'!$C$14:$C$22,0),MATCH('Calc|Opex forecast'!$F77,'Input|Rate of change'!$C$14:$P$14,0))*IF('Input|Step changes'!$E27="$millions",1000000,IF('Input|Step changes'!$E27="$000",1000,1))/IF($E77="$millions",1000000,IF($E77="$000",1000,1))</f>
        <v>0</v>
      </c>
      <c r="R77" s="82">
        <f>'Input|Step changes'!R27*INDEX('Input|Rate of change'!$C$14:$P$22,MATCH('Input|Step changes'!$F27,'Input|Rate of change'!$C$14:$C$22,0),MATCH('Calc|Opex forecast'!$F77,'Input|Rate of change'!$C$14:$P$14,0))*IF('Input|Step changes'!$E27="$millions",1000000,IF('Input|Step changes'!$E27="$000",1000,1))/IF($E77="$millions",1000000,IF($E77="$000",1000,1))</f>
        <v>0</v>
      </c>
      <c r="S77" s="82">
        <f>'Input|Step changes'!S27*INDEX('Input|Rate of change'!$C$14:$P$22,MATCH('Input|Step changes'!$F27,'Input|Rate of change'!$C$14:$C$22,0),MATCH('Calc|Opex forecast'!$F77,'Input|Rate of change'!$C$14:$P$14,0))*IF('Input|Step changes'!$E27="$millions",1000000,IF('Input|Step changes'!$E27="$000",1000,1))/IF($E77="$millions",1000000,IF($E77="$000",1000,1))</f>
        <v>0</v>
      </c>
      <c r="T77" s="82">
        <f>'Input|Step changes'!T27*INDEX('Input|Rate of change'!$C$14:$P$22,MATCH('Input|Step changes'!$F27,'Input|Rate of change'!$C$14:$C$22,0),MATCH('Calc|Opex forecast'!$F77,'Input|Rate of change'!$C$14:$P$14,0))*IF('Input|Step changes'!$E27="$millions",1000000,IF('Input|Step changes'!$E27="$000",1000,1))/IF($E77="$millions",1000000,IF($E77="$000",1000,1))</f>
        <v>0</v>
      </c>
      <c r="U77" s="8"/>
      <c r="V77" s="8"/>
      <c r="W77" s="8"/>
      <c r="X77" s="8"/>
    </row>
    <row r="78" spans="1:24" outlineLevel="1">
      <c r="A78" s="8"/>
      <c r="B78" s="8"/>
      <c r="C78" s="78"/>
      <c r="D78" s="16"/>
      <c r="E78" s="16"/>
      <c r="F78" s="70"/>
      <c r="G78" s="16"/>
      <c r="H78" s="16"/>
      <c r="I78" s="16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"/>
      <c r="V78" s="8"/>
      <c r="W78" s="8"/>
      <c r="X78" s="8"/>
    </row>
    <row r="79" spans="1:24" ht="10.5" outlineLevel="1">
      <c r="A79" s="8"/>
      <c r="B79" s="8"/>
      <c r="C79" s="71" t="s">
        <v>185</v>
      </c>
      <c r="D79" s="79" t="s">
        <v>68</v>
      </c>
      <c r="E79" s="79" t="str">
        <f>$E$8</f>
        <v>$millions</v>
      </c>
      <c r="F79" s="105">
        <f t="shared" si="7"/>
        <v>45444</v>
      </c>
      <c r="G79" s="21"/>
      <c r="H79" s="21"/>
      <c r="I79" s="21"/>
      <c r="J79" s="83">
        <f>SUM(J61:J78)</f>
        <v>0</v>
      </c>
      <c r="K79" s="83">
        <f t="shared" ref="K79:S79" si="8">SUM(K61:K78)</f>
        <v>0</v>
      </c>
      <c r="L79" s="83">
        <f t="shared" si="8"/>
        <v>0</v>
      </c>
      <c r="M79" s="83">
        <f t="shared" si="8"/>
        <v>0</v>
      </c>
      <c r="N79" s="83">
        <f t="shared" si="8"/>
        <v>0</v>
      </c>
      <c r="O79" s="83">
        <f t="shared" si="8"/>
        <v>4.2677970464611672</v>
      </c>
      <c r="P79" s="83">
        <f t="shared" si="8"/>
        <v>5.1424408836168061</v>
      </c>
      <c r="Q79" s="83">
        <f t="shared" si="8"/>
        <v>5.1323858620548748</v>
      </c>
      <c r="R79" s="83">
        <f t="shared" si="8"/>
        <v>0</v>
      </c>
      <c r="S79" s="83">
        <f t="shared" si="8"/>
        <v>0</v>
      </c>
      <c r="T79" s="83">
        <f t="shared" ref="T79" si="9">SUM(T61:T78)</f>
        <v>0</v>
      </c>
      <c r="U79" s="8"/>
      <c r="V79" s="8"/>
      <c r="W79" s="8"/>
      <c r="X79" s="8"/>
    </row>
    <row r="80" spans="1:24" ht="10.5">
      <c r="A80" s="8"/>
      <c r="B80" s="8"/>
      <c r="C80" s="80"/>
      <c r="D80" s="16"/>
      <c r="E80" s="16"/>
      <c r="F80" s="16"/>
      <c r="G80" s="16"/>
      <c r="H80" s="16"/>
      <c r="I80" s="16"/>
      <c r="J80" s="67"/>
      <c r="K80" s="67"/>
      <c r="L80" s="67"/>
      <c r="M80" s="67"/>
      <c r="N80" s="23"/>
      <c r="O80" s="23"/>
      <c r="P80" s="23"/>
      <c r="Q80" s="23"/>
      <c r="R80" s="23"/>
      <c r="S80" s="23"/>
      <c r="T80" s="23"/>
      <c r="U80" s="8"/>
      <c r="V80" s="8"/>
      <c r="W80" s="8"/>
      <c r="X80" s="8"/>
    </row>
    <row r="81" spans="1:24" ht="12.3">
      <c r="A81" s="34"/>
      <c r="B81" s="40" t="s">
        <v>186</v>
      </c>
      <c r="C81" s="34"/>
      <c r="D81" s="34"/>
      <c r="E81" s="34"/>
      <c r="F81" s="35"/>
      <c r="G81" s="35"/>
      <c r="H81" s="35"/>
      <c r="I81" s="35"/>
      <c r="J81" s="36"/>
      <c r="K81" s="37"/>
      <c r="L81" s="36"/>
      <c r="M81" s="37"/>
      <c r="N81" s="36"/>
      <c r="O81" s="36"/>
      <c r="P81" s="36"/>
      <c r="Q81" s="36"/>
      <c r="R81" s="36"/>
      <c r="S81" s="36"/>
      <c r="T81" s="36"/>
      <c r="U81" s="36"/>
      <c r="V81" s="36"/>
      <c r="W81" s="37"/>
      <c r="X81" s="37"/>
    </row>
    <row r="82" spans="1:24" outlineLevel="1">
      <c r="A82" s="8"/>
      <c r="B82" s="8"/>
      <c r="C82" s="15"/>
      <c r="D82" s="16"/>
      <c r="E82" s="16"/>
      <c r="F82" s="16"/>
      <c r="G82" s="16"/>
      <c r="H82" s="16"/>
      <c r="I82" s="16"/>
      <c r="J82" s="67"/>
      <c r="K82" s="67"/>
      <c r="L82" s="67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</row>
    <row r="83" spans="1:24" ht="10.5" outlineLevel="1">
      <c r="A83" s="8"/>
      <c r="B83" s="8"/>
      <c r="C83" s="9" t="s">
        <v>162</v>
      </c>
      <c r="D83" s="21" t="s">
        <v>47</v>
      </c>
      <c r="E83" s="21" t="s">
        <v>70</v>
      </c>
      <c r="F83" s="21" t="s">
        <v>75</v>
      </c>
      <c r="G83" s="21" t="str">
        <f>'Input|Step changes'!G33</f>
        <v>Sub Service</v>
      </c>
      <c r="H83" s="21" t="str">
        <f>'Input|Step changes'!H33</f>
        <v>Service Allocation</v>
      </c>
      <c r="I83" s="207" t="str">
        <f>'Input|Step changes'!I33</f>
        <v>Cost Category</v>
      </c>
      <c r="J83" s="102" t="str">
        <f>IF(YEAR(J$4)&gt;='Input|General'!$G$13,IF(YEAR(J$4)&lt;='Input|General'!$G$14,J$4,""),"")</f>
        <v/>
      </c>
      <c r="K83" s="102" t="str">
        <f>IF(YEAR(K$4)&gt;='Input|General'!$G$13,IF(YEAR(K$4)&lt;='Input|General'!$G$14,K$4,""),"")</f>
        <v/>
      </c>
      <c r="L83" s="102" t="str">
        <f>IF(YEAR(L$4)&gt;='Input|General'!$G$13,IF(YEAR(L$4)&lt;='Input|General'!$G$14,L$4,""),"")</f>
        <v/>
      </c>
      <c r="M83" s="102" t="str">
        <f>IF(YEAR(M$4)&gt;='Input|General'!$G$13,IF(YEAR(M$4)&lt;='Input|General'!$G$14,M$4,""),"")</f>
        <v/>
      </c>
      <c r="N83" s="102" t="str">
        <f>IF(YEAR(N$4)&gt;='Input|General'!$G$13,IF(YEAR(N$4)&lt;='Input|General'!$G$14,N$4,""),"")</f>
        <v/>
      </c>
      <c r="O83" s="102">
        <f>IF(YEAR(O$4)&gt;='Input|General'!$G$13,IF(YEAR(O$4)&lt;='Input|General'!$G$14,O$4,""),"")</f>
        <v>45809</v>
      </c>
      <c r="P83" s="102">
        <f>IF(YEAR(P$4)&gt;='Input|General'!$G$13,IF(YEAR(P$4)&lt;='Input|General'!$G$14,P$4,""),"")</f>
        <v>46174</v>
      </c>
      <c r="Q83" s="102">
        <f>IF(YEAR(Q$4)&gt;='Input|General'!$G$13,IF(YEAR(Q$4)&lt;='Input|General'!$G$14,Q$4,""),"")</f>
        <v>46539</v>
      </c>
      <c r="R83" s="102" t="str">
        <f>IF(YEAR(R$4)&gt;='Input|General'!$G$13,IF(YEAR(R$4)&lt;='Input|General'!$G$14,R$4,""),"")</f>
        <v/>
      </c>
      <c r="S83" s="102" t="str">
        <f>IF(YEAR(S$4)&gt;='Input|General'!$G$13,IF(YEAR(S$4)&lt;='Input|General'!$G$14,S$4,""),"")</f>
        <v/>
      </c>
      <c r="T83" s="102" t="str">
        <f>IF(YEAR(T$4)&gt;='Input|General'!$G$13,IF(YEAR(T$4)&lt;='Input|General'!$G$14,T$4,""),"")</f>
        <v/>
      </c>
      <c r="U83" s="8"/>
      <c r="V83" s="8"/>
      <c r="W83" s="8"/>
      <c r="X83" s="8"/>
    </row>
    <row r="84" spans="1:24" ht="10.5" outlineLevel="1">
      <c r="A84" s="8"/>
      <c r="B84" s="8"/>
      <c r="C84" s="9"/>
      <c r="D84" s="16"/>
      <c r="E84" s="16"/>
      <c r="F84" s="16"/>
      <c r="G84" s="16"/>
      <c r="H84" s="16"/>
      <c r="I84" s="7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8"/>
      <c r="V84" s="8"/>
      <c r="W84" s="8"/>
      <c r="X84" s="8"/>
    </row>
    <row r="85" spans="1:24" outlineLevel="1">
      <c r="A85" s="8"/>
      <c r="B85" s="8"/>
      <c r="C85" s="78" t="str">
        <f>'Input|Step changes'!C35</f>
        <v>Market Operations (MO) - Corporate Allocation-Indirect</v>
      </c>
      <c r="D85" s="16" t="s">
        <v>68</v>
      </c>
      <c r="E85" s="16" t="str">
        <f t="shared" si="6"/>
        <v>$millions</v>
      </c>
      <c r="F85" s="101">
        <f t="shared" ref="F85:F89" si="10">$F$8</f>
        <v>45444</v>
      </c>
      <c r="G85" s="67" t="str">
        <f>'Input|Step changes'!G35</f>
        <v>Market Operations (MO)</v>
      </c>
      <c r="H85" s="67" t="str">
        <f>'Input|Step changes'!H35</f>
        <v>Market Operator</v>
      </c>
      <c r="I85" s="8" t="str">
        <f>'Input|Step changes'!I35</f>
        <v>Expensed Corporate Overheads</v>
      </c>
      <c r="J85" s="82">
        <f>'Input|Step changes'!J35*INDEX('Input|Rate of change'!$C$14:$P$22,MATCH('Input|Step changes'!$F35,'Input|Rate of change'!$C$14:$C$22,0),MATCH('Calc|Opex forecast'!$F85,'Input|Rate of change'!$C$14:$P$14,0))*IF('Input|Step changes'!$E35="$millions",1000000,IF('Input|Step changes'!$E35="$000",1000,1))/IF($E85="$millions",1000000,IF($E85="$000",1000,1))</f>
        <v>0</v>
      </c>
      <c r="K85" s="82">
        <f>'Input|Step changes'!K35*INDEX('Input|Rate of change'!$C$14:$P$22,MATCH('Input|Step changes'!$F35,'Input|Rate of change'!$C$14:$C$22,0),MATCH('Calc|Opex forecast'!$F85,'Input|Rate of change'!$C$14:$P$14,0))*IF('Input|Step changes'!$E35="$millions",1000000,IF('Input|Step changes'!$E35="$000",1000,1))/IF($E85="$millions",1000000,IF($E85="$000",1000,1))</f>
        <v>0</v>
      </c>
      <c r="L85" s="82">
        <f>'Input|Step changes'!L35*INDEX('Input|Rate of change'!$C$14:$P$22,MATCH('Input|Step changes'!$F35,'Input|Rate of change'!$C$14:$C$22,0),MATCH('Calc|Opex forecast'!$F85,'Input|Rate of change'!$C$14:$P$14,0))*IF('Input|Step changes'!$E35="$millions",1000000,IF('Input|Step changes'!$E35="$000",1000,1))/IF($E85="$millions",1000000,IF($E85="$000",1000,1))</f>
        <v>0</v>
      </c>
      <c r="M85" s="82">
        <f>'Input|Step changes'!M35*INDEX('Input|Rate of change'!$C$14:$P$22,MATCH('Input|Step changes'!$F35,'Input|Rate of change'!$C$14:$C$22,0),MATCH('Calc|Opex forecast'!$F85,'Input|Rate of change'!$C$14:$P$14,0))*IF('Input|Step changes'!$E35="$millions",1000000,IF('Input|Step changes'!$E35="$000",1000,1))/IF($E85="$millions",1000000,IF($E85="$000",1000,1))</f>
        <v>0</v>
      </c>
      <c r="N85" s="82">
        <f>'Input|Step changes'!N35*INDEX('Input|Rate of change'!$C$14:$P$22,MATCH('Input|Step changes'!$F35,'Input|Rate of change'!$C$14:$C$22,0),MATCH('Calc|Opex forecast'!$F85,'Input|Rate of change'!$C$14:$P$14,0))*IF('Input|Step changes'!$E35="$millions",1000000,IF('Input|Step changes'!$E35="$000",1000,1))/IF($E85="$millions",1000000,IF($E85="$000",1000,1))</f>
        <v>0</v>
      </c>
      <c r="O85" s="82">
        <f>'Input|Step changes'!O35*INDEX('Input|Rate of change'!$C$14:$P$22,MATCH('Input|Step changes'!$F35,'Input|Rate of change'!$C$14:$C$22,0),MATCH('Calc|Opex forecast'!$F85,'Input|Rate of change'!$C$14:$P$14,0))*IF('Input|Step changes'!$E35="$millions",1000000,IF('Input|Step changes'!$E35="$000",1000,1))/IF($E85="$millions",1000000,IF($E85="$000",1000,1))</f>
        <v>0.55959347121229752</v>
      </c>
      <c r="P85" s="82">
        <f>'Input|Step changes'!P35*INDEX('Input|Rate of change'!$C$14:$P$22,MATCH('Input|Step changes'!$F35,'Input|Rate of change'!$C$14:$C$22,0),MATCH('Calc|Opex forecast'!$F85,'Input|Rate of change'!$C$14:$P$14,0))*IF('Input|Step changes'!$E35="$millions",1000000,IF('Input|Step changes'!$E35="$000",1000,1))/IF($E85="$millions",1000000,IF($E85="$000",1000,1))</f>
        <v>0.50133599405108775</v>
      </c>
      <c r="Q85" s="82">
        <f>'Input|Step changes'!Q35*INDEX('Input|Rate of change'!$C$14:$P$22,MATCH('Input|Step changes'!$F35,'Input|Rate of change'!$C$14:$C$22,0),MATCH('Calc|Opex forecast'!$F85,'Input|Rate of change'!$C$14:$P$14,0))*IF('Input|Step changes'!$E35="$millions",1000000,IF('Input|Step changes'!$E35="$000",1000,1))/IF($E85="$millions",1000000,IF($E85="$000",1000,1))</f>
        <v>0.43726790158354978</v>
      </c>
      <c r="R85" s="82">
        <f>'Input|Step changes'!R35*INDEX('Input|Rate of change'!$C$14:$P$22,MATCH('Input|Step changes'!$F35,'Input|Rate of change'!$C$14:$C$22,0),MATCH('Calc|Opex forecast'!$F85,'Input|Rate of change'!$C$14:$P$14,0))*IF('Input|Step changes'!$E35="$millions",1000000,IF('Input|Step changes'!$E35="$000",1000,1))/IF($E85="$millions",1000000,IF($E85="$000",1000,1))</f>
        <v>0</v>
      </c>
      <c r="S85" s="82">
        <f>'Input|Step changes'!S35*INDEX('Input|Rate of change'!$C$14:$P$22,MATCH('Input|Step changes'!$F35,'Input|Rate of change'!$C$14:$C$22,0),MATCH('Calc|Opex forecast'!$F85,'Input|Rate of change'!$C$14:$P$14,0))*IF('Input|Step changes'!$E35="$millions",1000000,IF('Input|Step changes'!$E35="$000",1000,1))/IF($E85="$millions",1000000,IF($E85="$000",1000,1))</f>
        <v>0</v>
      </c>
      <c r="T85" s="82">
        <f>'Input|Step changes'!T35*INDEX('Input|Rate of change'!$C$14:$P$22,MATCH('Input|Step changes'!$F35,'Input|Rate of change'!$C$14:$C$22,0),MATCH('Calc|Opex forecast'!$F85,'Input|Rate of change'!$C$14:$P$14,0))*IF('Input|Step changes'!$E35="$millions",1000000,IF('Input|Step changes'!$E35="$000",1000,1))/IF($E85="$millions",1000000,IF($E85="$000",1000,1))</f>
        <v>0</v>
      </c>
      <c r="U85" s="8"/>
      <c r="V85" s="8"/>
      <c r="W85" s="8"/>
      <c r="X85" s="8"/>
    </row>
    <row r="86" spans="1:24" outlineLevel="1">
      <c r="A86" s="8"/>
      <c r="B86" s="8"/>
      <c r="C86" s="78" t="str">
        <f>'Input|Step changes'!C36</f>
        <v>NTEM Development (MO) - Corporate Allocation-Indirect</v>
      </c>
      <c r="D86" s="16" t="s">
        <v>68</v>
      </c>
      <c r="E86" s="16" t="str">
        <f t="shared" si="6"/>
        <v>$millions</v>
      </c>
      <c r="F86" s="101">
        <f t="shared" si="10"/>
        <v>45444</v>
      </c>
      <c r="G86" s="67" t="str">
        <f>'Input|Step changes'!G36</f>
        <v>NTEM Development (MO)</v>
      </c>
      <c r="H86" s="67" t="str">
        <f>'Input|Step changes'!H36</f>
        <v>Market Operator</v>
      </c>
      <c r="I86" s="8" t="str">
        <f>'Input|Step changes'!I36</f>
        <v>Expensed Corporate Overheads</v>
      </c>
      <c r="J86" s="82">
        <f>'Input|Step changes'!J36*INDEX('Input|Rate of change'!$C$14:$P$22,MATCH('Input|Step changes'!$F36,'Input|Rate of change'!$C$14:$C$22,0),MATCH('Calc|Opex forecast'!$F86,'Input|Rate of change'!$C$14:$P$14,0))*IF('Input|Step changes'!$E36="$millions",1000000,IF('Input|Step changes'!$E36="$000",1000,1))/IF($E86="$millions",1000000,IF($E86="$000",1000,1))</f>
        <v>0</v>
      </c>
      <c r="K86" s="82">
        <f>'Input|Step changes'!K36*INDEX('Input|Rate of change'!$C$14:$P$22,MATCH('Input|Step changes'!$F36,'Input|Rate of change'!$C$14:$C$22,0),MATCH('Calc|Opex forecast'!$F86,'Input|Rate of change'!$C$14:$P$14,0))*IF('Input|Step changes'!$E36="$millions",1000000,IF('Input|Step changes'!$E36="$000",1000,1))/IF($E86="$millions",1000000,IF($E86="$000",1000,1))</f>
        <v>0</v>
      </c>
      <c r="L86" s="82">
        <f>'Input|Step changes'!L36*INDEX('Input|Rate of change'!$C$14:$P$22,MATCH('Input|Step changes'!$F36,'Input|Rate of change'!$C$14:$C$22,0),MATCH('Calc|Opex forecast'!$F86,'Input|Rate of change'!$C$14:$P$14,0))*IF('Input|Step changes'!$E36="$millions",1000000,IF('Input|Step changes'!$E36="$000",1000,1))/IF($E86="$millions",1000000,IF($E86="$000",1000,1))</f>
        <v>0</v>
      </c>
      <c r="M86" s="82">
        <f>'Input|Step changes'!M36*INDEX('Input|Rate of change'!$C$14:$P$22,MATCH('Input|Step changes'!$F36,'Input|Rate of change'!$C$14:$C$22,0),MATCH('Calc|Opex forecast'!$F86,'Input|Rate of change'!$C$14:$P$14,0))*IF('Input|Step changes'!$E36="$millions",1000000,IF('Input|Step changes'!$E36="$000",1000,1))/IF($E86="$millions",1000000,IF($E86="$000",1000,1))</f>
        <v>0</v>
      </c>
      <c r="N86" s="82">
        <f>'Input|Step changes'!N36*INDEX('Input|Rate of change'!$C$14:$P$22,MATCH('Input|Step changes'!$F36,'Input|Rate of change'!$C$14:$C$22,0),MATCH('Calc|Opex forecast'!$F86,'Input|Rate of change'!$C$14:$P$14,0))*IF('Input|Step changes'!$E36="$millions",1000000,IF('Input|Step changes'!$E36="$000",1000,1))/IF($E86="$millions",1000000,IF($E86="$000",1000,1))</f>
        <v>0</v>
      </c>
      <c r="O86" s="82">
        <f>'Input|Step changes'!O36*INDEX('Input|Rate of change'!$C$14:$P$22,MATCH('Input|Step changes'!$F36,'Input|Rate of change'!$C$14:$C$22,0),MATCH('Calc|Opex forecast'!$F86,'Input|Rate of change'!$C$14:$P$14,0))*IF('Input|Step changes'!$E36="$millions",1000000,IF('Input|Step changes'!$E36="$000",1000,1))/IF($E86="$millions",1000000,IF($E86="$000",1000,1))</f>
        <v>0.43231663618592298</v>
      </c>
      <c r="P86" s="82">
        <f>'Input|Step changes'!P36*INDEX('Input|Rate of change'!$C$14:$P$22,MATCH('Input|Step changes'!$F36,'Input|Rate of change'!$C$14:$C$22,0),MATCH('Calc|Opex forecast'!$F86,'Input|Rate of change'!$C$14:$P$14,0))*IF('Input|Step changes'!$E36="$millions",1000000,IF('Input|Step changes'!$E36="$000",1000,1))/IF($E86="$millions",1000000,IF($E86="$000",1000,1))</f>
        <v>0.38730954111662125</v>
      </c>
      <c r="Q86" s="82">
        <f>'Input|Step changes'!Q36*INDEX('Input|Rate of change'!$C$14:$P$22,MATCH('Input|Step changes'!$F36,'Input|Rate of change'!$C$14:$C$22,0),MATCH('Calc|Opex forecast'!$F86,'Input|Rate of change'!$C$14:$P$14,0))*IF('Input|Step changes'!$E36="$millions",1000000,IF('Input|Step changes'!$E36="$000",1000,1))/IF($E86="$millions",1000000,IF($E86="$000",1000,1))</f>
        <v>0.33781342715658769</v>
      </c>
      <c r="R86" s="82">
        <f>'Input|Step changes'!R36*INDEX('Input|Rate of change'!$C$14:$P$22,MATCH('Input|Step changes'!$F36,'Input|Rate of change'!$C$14:$C$22,0),MATCH('Calc|Opex forecast'!$F86,'Input|Rate of change'!$C$14:$P$14,0))*IF('Input|Step changes'!$E36="$millions",1000000,IF('Input|Step changes'!$E36="$000",1000,1))/IF($E86="$millions",1000000,IF($E86="$000",1000,1))</f>
        <v>0</v>
      </c>
      <c r="S86" s="82">
        <f>'Input|Step changes'!S36*INDEX('Input|Rate of change'!$C$14:$P$22,MATCH('Input|Step changes'!$F36,'Input|Rate of change'!$C$14:$C$22,0),MATCH('Calc|Opex forecast'!$F86,'Input|Rate of change'!$C$14:$P$14,0))*IF('Input|Step changes'!$E36="$millions",1000000,IF('Input|Step changes'!$E36="$000",1000,1))/IF($E86="$millions",1000000,IF($E86="$000",1000,1))</f>
        <v>0</v>
      </c>
      <c r="T86" s="82">
        <f>'Input|Step changes'!T36*INDEX('Input|Rate of change'!$C$14:$P$22,MATCH('Input|Step changes'!$F36,'Input|Rate of change'!$C$14:$C$22,0),MATCH('Calc|Opex forecast'!$F86,'Input|Rate of change'!$C$14:$P$14,0))*IF('Input|Step changes'!$E36="$millions",1000000,IF('Input|Step changes'!$E36="$000",1000,1))/IF($E86="$millions",1000000,IF($E86="$000",1000,1))</f>
        <v>0</v>
      </c>
      <c r="U86" s="8"/>
      <c r="V86" s="8"/>
      <c r="W86" s="8"/>
      <c r="X86" s="8"/>
    </row>
    <row r="87" spans="1:24" outlineLevel="1">
      <c r="A87" s="8"/>
      <c r="B87" s="8"/>
      <c r="C87" s="78" t="str">
        <f>'Input|Step changes'!C37</f>
        <v>Operations Planning (SC) - Corporate Allocation-Indirect</v>
      </c>
      <c r="D87" s="16" t="s">
        <v>68</v>
      </c>
      <c r="E87" s="16" t="str">
        <f t="shared" si="6"/>
        <v>$millions</v>
      </c>
      <c r="F87" s="101">
        <f t="shared" si="10"/>
        <v>45444</v>
      </c>
      <c r="G87" s="67" t="str">
        <f>'Input|Step changes'!G37</f>
        <v>Operations Planning (SC)</v>
      </c>
      <c r="H87" s="67" t="str">
        <f>'Input|Step changes'!H37</f>
        <v>System Control</v>
      </c>
      <c r="I87" s="8" t="str">
        <f>'Input|Step changes'!I37</f>
        <v>Expensed Corporate Overheads</v>
      </c>
      <c r="J87" s="82">
        <f>'Input|Step changes'!J37*INDEX('Input|Rate of change'!$C$14:$P$22,MATCH('Input|Step changes'!$F37,'Input|Rate of change'!$C$14:$C$22,0),MATCH('Calc|Opex forecast'!$F87,'Input|Rate of change'!$C$14:$P$14,0))*IF('Input|Step changes'!$E37="$millions",1000000,IF('Input|Step changes'!$E37="$000",1000,1))/IF($E87="$millions",1000000,IF($E87="$000",1000,1))</f>
        <v>0</v>
      </c>
      <c r="K87" s="82">
        <f>'Input|Step changes'!K37*INDEX('Input|Rate of change'!$C$14:$P$22,MATCH('Input|Step changes'!$F37,'Input|Rate of change'!$C$14:$C$22,0),MATCH('Calc|Opex forecast'!$F87,'Input|Rate of change'!$C$14:$P$14,0))*IF('Input|Step changes'!$E37="$millions",1000000,IF('Input|Step changes'!$E37="$000",1000,1))/IF($E87="$millions",1000000,IF($E87="$000",1000,1))</f>
        <v>0</v>
      </c>
      <c r="L87" s="82">
        <f>'Input|Step changes'!L37*INDEX('Input|Rate of change'!$C$14:$P$22,MATCH('Input|Step changes'!$F37,'Input|Rate of change'!$C$14:$C$22,0),MATCH('Calc|Opex forecast'!$F87,'Input|Rate of change'!$C$14:$P$14,0))*IF('Input|Step changes'!$E37="$millions",1000000,IF('Input|Step changes'!$E37="$000",1000,1))/IF($E87="$millions",1000000,IF($E87="$000",1000,1))</f>
        <v>0</v>
      </c>
      <c r="M87" s="82">
        <f>'Input|Step changes'!M37*INDEX('Input|Rate of change'!$C$14:$P$22,MATCH('Input|Step changes'!$F37,'Input|Rate of change'!$C$14:$C$22,0),MATCH('Calc|Opex forecast'!$F87,'Input|Rate of change'!$C$14:$P$14,0))*IF('Input|Step changes'!$E37="$millions",1000000,IF('Input|Step changes'!$E37="$000",1000,1))/IF($E87="$millions",1000000,IF($E87="$000",1000,1))</f>
        <v>0</v>
      </c>
      <c r="N87" s="82">
        <f>'Input|Step changes'!N37*INDEX('Input|Rate of change'!$C$14:$P$22,MATCH('Input|Step changes'!$F37,'Input|Rate of change'!$C$14:$C$22,0),MATCH('Calc|Opex forecast'!$F87,'Input|Rate of change'!$C$14:$P$14,0))*IF('Input|Step changes'!$E37="$millions",1000000,IF('Input|Step changes'!$E37="$000",1000,1))/IF($E87="$millions",1000000,IF($E87="$000",1000,1))</f>
        <v>0</v>
      </c>
      <c r="O87" s="82">
        <f>'Input|Step changes'!O37*INDEX('Input|Rate of change'!$C$14:$P$22,MATCH('Input|Step changes'!$F37,'Input|Rate of change'!$C$14:$C$22,0),MATCH('Calc|Opex forecast'!$F87,'Input|Rate of change'!$C$14:$P$14,0))*IF('Input|Step changes'!$E37="$millions",1000000,IF('Input|Step changes'!$E37="$000",1000,1))/IF($E87="$millions",1000000,IF($E87="$000",1000,1))</f>
        <v>1.1227591246442172</v>
      </c>
      <c r="P87" s="82">
        <f>'Input|Step changes'!P37*INDEX('Input|Rate of change'!$C$14:$P$22,MATCH('Input|Step changes'!$F37,'Input|Rate of change'!$C$14:$C$22,0),MATCH('Calc|Opex forecast'!$F87,'Input|Rate of change'!$C$14:$P$14,0))*IF('Input|Step changes'!$E37="$millions",1000000,IF('Input|Step changes'!$E37="$000",1000,1))/IF($E87="$millions",1000000,IF($E87="$000",1000,1))</f>
        <v>1.005872281915694</v>
      </c>
      <c r="Q87" s="82">
        <f>'Input|Step changes'!Q37*INDEX('Input|Rate of change'!$C$14:$P$22,MATCH('Input|Step changes'!$F37,'Input|Rate of change'!$C$14:$C$22,0),MATCH('Calc|Opex forecast'!$F87,'Input|Rate of change'!$C$14:$P$14,0))*IF('Input|Step changes'!$E37="$millions",1000000,IF('Input|Step changes'!$E37="$000",1000,1))/IF($E87="$millions",1000000,IF($E87="$000",1000,1))</f>
        <v>0.87732711633210914</v>
      </c>
      <c r="R87" s="82">
        <f>'Input|Step changes'!R37*INDEX('Input|Rate of change'!$C$14:$P$22,MATCH('Input|Step changes'!$F37,'Input|Rate of change'!$C$14:$C$22,0),MATCH('Calc|Opex forecast'!$F87,'Input|Rate of change'!$C$14:$P$14,0))*IF('Input|Step changes'!$E37="$millions",1000000,IF('Input|Step changes'!$E37="$000",1000,1))/IF($E87="$millions",1000000,IF($E87="$000",1000,1))</f>
        <v>0</v>
      </c>
      <c r="S87" s="82">
        <f>'Input|Step changes'!S37*INDEX('Input|Rate of change'!$C$14:$P$22,MATCH('Input|Step changes'!$F37,'Input|Rate of change'!$C$14:$C$22,0),MATCH('Calc|Opex forecast'!$F87,'Input|Rate of change'!$C$14:$P$14,0))*IF('Input|Step changes'!$E37="$millions",1000000,IF('Input|Step changes'!$E37="$000",1000,1))/IF($E87="$millions",1000000,IF($E87="$000",1000,1))</f>
        <v>0</v>
      </c>
      <c r="T87" s="82">
        <f>'Input|Step changes'!T37*INDEX('Input|Rate of change'!$C$14:$P$22,MATCH('Input|Step changes'!$F37,'Input|Rate of change'!$C$14:$C$22,0),MATCH('Calc|Opex forecast'!$F87,'Input|Rate of change'!$C$14:$P$14,0))*IF('Input|Step changes'!$E37="$millions",1000000,IF('Input|Step changes'!$E37="$000",1000,1))/IF($E87="$millions",1000000,IF($E87="$000",1000,1))</f>
        <v>0</v>
      </c>
      <c r="U87" s="8"/>
      <c r="V87" s="8"/>
      <c r="W87" s="8"/>
      <c r="X87" s="8"/>
    </row>
    <row r="88" spans="1:24" outlineLevel="1">
      <c r="A88" s="8"/>
      <c r="B88" s="8"/>
      <c r="C88" s="78" t="str">
        <f>'Input|Step changes'!C38</f>
        <v>Power System Evolution (SC) - Corporate Allocation-Indirect</v>
      </c>
      <c r="D88" s="16" t="s">
        <v>68</v>
      </c>
      <c r="E88" s="16" t="str">
        <f t="shared" si="6"/>
        <v>$millions</v>
      </c>
      <c r="F88" s="101">
        <f t="shared" si="10"/>
        <v>45444</v>
      </c>
      <c r="G88" s="67" t="str">
        <f>'Input|Step changes'!G38</f>
        <v>Power System Evolution (SC)</v>
      </c>
      <c r="H88" s="67" t="str">
        <f>'Input|Step changes'!H38</f>
        <v>System Control</v>
      </c>
      <c r="I88" s="8" t="str">
        <f>'Input|Step changes'!I38</f>
        <v>Expensed Corporate Overheads</v>
      </c>
      <c r="J88" s="82">
        <f>'Input|Step changes'!J38*INDEX('Input|Rate of change'!$C$14:$P$22,MATCH('Input|Step changes'!$F38,'Input|Rate of change'!$C$14:$C$22,0),MATCH('Calc|Opex forecast'!$F88,'Input|Rate of change'!$C$14:$P$14,0))*IF('Input|Step changes'!$E38="$millions",1000000,IF('Input|Step changes'!$E38="$000",1000,1))/IF($E88="$millions",1000000,IF($E88="$000",1000,1))</f>
        <v>0</v>
      </c>
      <c r="K88" s="82">
        <f>'Input|Step changes'!K38*INDEX('Input|Rate of change'!$C$14:$P$22,MATCH('Input|Step changes'!$F38,'Input|Rate of change'!$C$14:$C$22,0),MATCH('Calc|Opex forecast'!$F88,'Input|Rate of change'!$C$14:$P$14,0))*IF('Input|Step changes'!$E38="$millions",1000000,IF('Input|Step changes'!$E38="$000",1000,1))/IF($E88="$millions",1000000,IF($E88="$000",1000,1))</f>
        <v>0</v>
      </c>
      <c r="L88" s="82">
        <f>'Input|Step changes'!L38*INDEX('Input|Rate of change'!$C$14:$P$22,MATCH('Input|Step changes'!$F38,'Input|Rate of change'!$C$14:$C$22,0),MATCH('Calc|Opex forecast'!$F88,'Input|Rate of change'!$C$14:$P$14,0))*IF('Input|Step changes'!$E38="$millions",1000000,IF('Input|Step changes'!$E38="$000",1000,1))/IF($E88="$millions",1000000,IF($E88="$000",1000,1))</f>
        <v>0</v>
      </c>
      <c r="M88" s="82">
        <f>'Input|Step changes'!M38*INDEX('Input|Rate of change'!$C$14:$P$22,MATCH('Input|Step changes'!$F38,'Input|Rate of change'!$C$14:$C$22,0),MATCH('Calc|Opex forecast'!$F88,'Input|Rate of change'!$C$14:$P$14,0))*IF('Input|Step changes'!$E38="$millions",1000000,IF('Input|Step changes'!$E38="$000",1000,1))/IF($E88="$millions",1000000,IF($E88="$000",1000,1))</f>
        <v>0</v>
      </c>
      <c r="N88" s="82">
        <f>'Input|Step changes'!N38*INDEX('Input|Rate of change'!$C$14:$P$22,MATCH('Input|Step changes'!$F38,'Input|Rate of change'!$C$14:$C$22,0),MATCH('Calc|Opex forecast'!$F88,'Input|Rate of change'!$C$14:$P$14,0))*IF('Input|Step changes'!$E38="$millions",1000000,IF('Input|Step changes'!$E38="$000",1000,1))/IF($E88="$millions",1000000,IF($E88="$000",1000,1))</f>
        <v>0</v>
      </c>
      <c r="O88" s="82">
        <f>'Input|Step changes'!O38*INDEX('Input|Rate of change'!$C$14:$P$22,MATCH('Input|Step changes'!$F38,'Input|Rate of change'!$C$14:$C$22,0),MATCH('Calc|Opex forecast'!$F88,'Input|Rate of change'!$C$14:$P$14,0))*IF('Input|Step changes'!$E38="$millions",1000000,IF('Input|Step changes'!$E38="$000",1000,1))/IF($E88="$millions",1000000,IF($E88="$000",1000,1))</f>
        <v>0.91759168714003847</v>
      </c>
      <c r="P88" s="82">
        <f>'Input|Step changes'!P38*INDEX('Input|Rate of change'!$C$14:$P$22,MATCH('Input|Step changes'!$F38,'Input|Rate of change'!$C$14:$C$22,0),MATCH('Calc|Opex forecast'!$F88,'Input|Rate of change'!$C$14:$P$14,0))*IF('Input|Step changes'!$E38="$millions",1000000,IF('Input|Step changes'!$E38="$000",1000,1))/IF($E88="$millions",1000000,IF($E88="$000",1000,1))</f>
        <v>0.31995958989722323</v>
      </c>
      <c r="Q88" s="82">
        <f>'Input|Step changes'!Q38*INDEX('Input|Rate of change'!$C$14:$P$22,MATCH('Input|Step changes'!$F38,'Input|Rate of change'!$C$14:$C$22,0),MATCH('Calc|Opex forecast'!$F88,'Input|Rate of change'!$C$14:$P$14,0))*IF('Input|Step changes'!$E38="$millions",1000000,IF('Input|Step changes'!$E38="$000",1000,1))/IF($E88="$millions",1000000,IF($E88="$000",1000,1))</f>
        <v>0.34202896127907373</v>
      </c>
      <c r="R88" s="82">
        <f>'Input|Step changes'!R38*INDEX('Input|Rate of change'!$C$14:$P$22,MATCH('Input|Step changes'!$F38,'Input|Rate of change'!$C$14:$C$22,0),MATCH('Calc|Opex forecast'!$F88,'Input|Rate of change'!$C$14:$P$14,0))*IF('Input|Step changes'!$E38="$millions",1000000,IF('Input|Step changes'!$E38="$000",1000,1))/IF($E88="$millions",1000000,IF($E88="$000",1000,1))</f>
        <v>0</v>
      </c>
      <c r="S88" s="82">
        <f>'Input|Step changes'!S38*INDEX('Input|Rate of change'!$C$14:$P$22,MATCH('Input|Step changes'!$F38,'Input|Rate of change'!$C$14:$C$22,0),MATCH('Calc|Opex forecast'!$F88,'Input|Rate of change'!$C$14:$P$14,0))*IF('Input|Step changes'!$E38="$millions",1000000,IF('Input|Step changes'!$E38="$000",1000,1))/IF($E88="$millions",1000000,IF($E88="$000",1000,1))</f>
        <v>0</v>
      </c>
      <c r="T88" s="82">
        <f>'Input|Step changes'!T38*INDEX('Input|Rate of change'!$C$14:$P$22,MATCH('Input|Step changes'!$F38,'Input|Rate of change'!$C$14:$C$22,0),MATCH('Calc|Opex forecast'!$F88,'Input|Rate of change'!$C$14:$P$14,0))*IF('Input|Step changes'!$E38="$millions",1000000,IF('Input|Step changes'!$E38="$000",1000,1))/IF($E88="$millions",1000000,IF($E88="$000",1000,1))</f>
        <v>0</v>
      </c>
      <c r="U88" s="8"/>
      <c r="V88" s="8"/>
      <c r="W88" s="8"/>
      <c r="X88" s="8"/>
    </row>
    <row r="89" spans="1:24" outlineLevel="1">
      <c r="A89" s="8"/>
      <c r="B89" s="8"/>
      <c r="C89" s="78" t="str">
        <f>'Input|Step changes'!C39</f>
        <v>Real Time Operations (SC) - Corporate Allocation-Indirect</v>
      </c>
      <c r="D89" s="16" t="s">
        <v>68</v>
      </c>
      <c r="E89" s="16" t="str">
        <f t="shared" si="6"/>
        <v>$millions</v>
      </c>
      <c r="F89" s="101">
        <f t="shared" si="10"/>
        <v>45444</v>
      </c>
      <c r="G89" s="67" t="str">
        <f>'Input|Step changes'!G39</f>
        <v>Real Time Operations (SC)</v>
      </c>
      <c r="H89" s="67" t="str">
        <f>'Input|Step changes'!H39</f>
        <v>System Control</v>
      </c>
      <c r="I89" s="8" t="str">
        <f>'Input|Step changes'!I39</f>
        <v>Expensed Corporate Overheads</v>
      </c>
      <c r="J89" s="82">
        <f>'Input|Step changes'!J39*INDEX('Input|Rate of change'!$C$14:$P$22,MATCH('Input|Step changes'!$F39,'Input|Rate of change'!$C$14:$C$22,0),MATCH('Calc|Opex forecast'!$F89,'Input|Rate of change'!$C$14:$P$14,0))*IF('Input|Step changes'!$E39="$millions",1000000,IF('Input|Step changes'!$E39="$000",1000,1))/IF($E89="$millions",1000000,IF($E89="$000",1000,1))</f>
        <v>0</v>
      </c>
      <c r="K89" s="82">
        <f>'Input|Step changes'!K39*INDEX('Input|Rate of change'!$C$14:$P$22,MATCH('Input|Step changes'!$F39,'Input|Rate of change'!$C$14:$C$22,0),MATCH('Calc|Opex forecast'!$F89,'Input|Rate of change'!$C$14:$P$14,0))*IF('Input|Step changes'!$E39="$millions",1000000,IF('Input|Step changes'!$E39="$000",1000,1))/IF($E89="$millions",1000000,IF($E89="$000",1000,1))</f>
        <v>0</v>
      </c>
      <c r="L89" s="82">
        <f>'Input|Step changes'!L39*INDEX('Input|Rate of change'!$C$14:$P$22,MATCH('Input|Step changes'!$F39,'Input|Rate of change'!$C$14:$C$22,0),MATCH('Calc|Opex forecast'!$F89,'Input|Rate of change'!$C$14:$P$14,0))*IF('Input|Step changes'!$E39="$millions",1000000,IF('Input|Step changes'!$E39="$000",1000,1))/IF($E89="$millions",1000000,IF($E89="$000",1000,1))</f>
        <v>0</v>
      </c>
      <c r="M89" s="82">
        <f>'Input|Step changes'!M39*INDEX('Input|Rate of change'!$C$14:$P$22,MATCH('Input|Step changes'!$F39,'Input|Rate of change'!$C$14:$C$22,0),MATCH('Calc|Opex forecast'!$F89,'Input|Rate of change'!$C$14:$P$14,0))*IF('Input|Step changes'!$E39="$millions",1000000,IF('Input|Step changes'!$E39="$000",1000,1))/IF($E89="$millions",1000000,IF($E89="$000",1000,1))</f>
        <v>0</v>
      </c>
      <c r="N89" s="82">
        <f>'Input|Step changes'!N39*INDEX('Input|Rate of change'!$C$14:$P$22,MATCH('Input|Step changes'!$F39,'Input|Rate of change'!$C$14:$C$22,0),MATCH('Calc|Opex forecast'!$F89,'Input|Rate of change'!$C$14:$P$14,0))*IF('Input|Step changes'!$E39="$millions",1000000,IF('Input|Step changes'!$E39="$000",1000,1))/IF($E89="$millions",1000000,IF($E89="$000",1000,1))</f>
        <v>0</v>
      </c>
      <c r="O89" s="82">
        <f>'Input|Step changes'!O39*INDEX('Input|Rate of change'!$C$14:$P$22,MATCH('Input|Step changes'!$F39,'Input|Rate of change'!$C$14:$C$22,0),MATCH('Calc|Opex forecast'!$F89,'Input|Rate of change'!$C$14:$P$14,0))*IF('Input|Step changes'!$E39="$millions",1000000,IF('Input|Step changes'!$E39="$000",1000,1))/IF($E89="$millions",1000000,IF($E89="$000",1000,1))</f>
        <v>2.1767842070259285</v>
      </c>
      <c r="P89" s="82">
        <f>'Input|Step changes'!P39*INDEX('Input|Rate of change'!$C$14:$P$22,MATCH('Input|Step changes'!$F39,'Input|Rate of change'!$C$14:$C$22,0),MATCH('Calc|Opex forecast'!$F89,'Input|Rate of change'!$C$14:$P$14,0))*IF('Input|Step changes'!$E39="$millions",1000000,IF('Input|Step changes'!$E39="$000",1000,1))/IF($E89="$millions",1000000,IF($E89="$000",1000,1))</f>
        <v>1.950166201724747</v>
      </c>
      <c r="Q89" s="82">
        <f>'Input|Step changes'!Q39*INDEX('Input|Rate of change'!$C$14:$P$22,MATCH('Input|Step changes'!$F39,'Input|Rate of change'!$C$14:$C$22,0),MATCH('Calc|Opex forecast'!$F89,'Input|Rate of change'!$C$14:$P$14,0))*IF('Input|Step changes'!$E39="$millions",1000000,IF('Input|Step changes'!$E39="$000",1000,1))/IF($E89="$millions",1000000,IF($E89="$000",1000,1))</f>
        <v>1.700945260037412</v>
      </c>
      <c r="R89" s="82">
        <f>'Input|Step changes'!R39*INDEX('Input|Rate of change'!$C$14:$P$22,MATCH('Input|Step changes'!$F39,'Input|Rate of change'!$C$14:$C$22,0),MATCH('Calc|Opex forecast'!$F89,'Input|Rate of change'!$C$14:$P$14,0))*IF('Input|Step changes'!$E39="$millions",1000000,IF('Input|Step changes'!$E39="$000",1000,1))/IF($E89="$millions",1000000,IF($E89="$000",1000,1))</f>
        <v>0</v>
      </c>
      <c r="S89" s="82">
        <f>'Input|Step changes'!S39*INDEX('Input|Rate of change'!$C$14:$P$22,MATCH('Input|Step changes'!$F39,'Input|Rate of change'!$C$14:$C$22,0),MATCH('Calc|Opex forecast'!$F89,'Input|Rate of change'!$C$14:$P$14,0))*IF('Input|Step changes'!$E39="$millions",1000000,IF('Input|Step changes'!$E39="$000",1000,1))/IF($E89="$millions",1000000,IF($E89="$000",1000,1))</f>
        <v>0</v>
      </c>
      <c r="T89" s="82">
        <f>'Input|Step changes'!T39*INDEX('Input|Rate of change'!$C$14:$P$22,MATCH('Input|Step changes'!$F39,'Input|Rate of change'!$C$14:$C$22,0),MATCH('Calc|Opex forecast'!$F89,'Input|Rate of change'!$C$14:$P$14,0))*IF('Input|Step changes'!$E39="$millions",1000000,IF('Input|Step changes'!$E39="$000",1000,1))/IF($E89="$millions",1000000,IF($E89="$000",1000,1))</f>
        <v>0</v>
      </c>
      <c r="U89" s="67"/>
      <c r="V89" s="67"/>
      <c r="W89" s="67"/>
      <c r="X89" s="67"/>
    </row>
    <row r="90" spans="1:24" outlineLevel="1">
      <c r="A90" s="8"/>
      <c r="B90" s="8"/>
      <c r="C90" s="78"/>
      <c r="D90" s="16"/>
      <c r="E90" s="16"/>
      <c r="F90" s="70"/>
      <c r="G90" s="16"/>
      <c r="H90" s="16"/>
      <c r="I90" s="16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67"/>
      <c r="V90" s="67"/>
      <c r="W90" s="67"/>
      <c r="X90" s="67"/>
    </row>
    <row r="91" spans="1:24" ht="10.5" outlineLevel="1">
      <c r="A91" s="8"/>
      <c r="B91" s="8"/>
      <c r="C91" s="71" t="s">
        <v>187</v>
      </c>
      <c r="D91" s="79" t="s">
        <v>68</v>
      </c>
      <c r="E91" s="79" t="str">
        <f>$E$8</f>
        <v>$millions</v>
      </c>
      <c r="F91" s="105">
        <f t="shared" ref="F91" si="11">$F$8</f>
        <v>45444</v>
      </c>
      <c r="G91" s="21"/>
      <c r="H91" s="21"/>
      <c r="I91" s="21"/>
      <c r="J91" s="83">
        <f t="shared" ref="J91:T91" si="12">SUM(J84:J89)</f>
        <v>0</v>
      </c>
      <c r="K91" s="83">
        <f t="shared" si="12"/>
        <v>0</v>
      </c>
      <c r="L91" s="83">
        <f t="shared" si="12"/>
        <v>0</v>
      </c>
      <c r="M91" s="83">
        <f t="shared" si="12"/>
        <v>0</v>
      </c>
      <c r="N91" s="83">
        <f t="shared" si="12"/>
        <v>0</v>
      </c>
      <c r="O91" s="83">
        <f t="shared" si="12"/>
        <v>5.2090451262084052</v>
      </c>
      <c r="P91" s="83">
        <f t="shared" si="12"/>
        <v>4.1646436087053731</v>
      </c>
      <c r="Q91" s="83">
        <f t="shared" si="12"/>
        <v>3.6953826663887321</v>
      </c>
      <c r="R91" s="83">
        <f t="shared" si="12"/>
        <v>0</v>
      </c>
      <c r="S91" s="83">
        <f t="shared" si="12"/>
        <v>0</v>
      </c>
      <c r="T91" s="83">
        <f t="shared" si="12"/>
        <v>0</v>
      </c>
      <c r="U91" s="8"/>
      <c r="V91" s="8"/>
      <c r="W91" s="8"/>
      <c r="X91" s="8"/>
    </row>
    <row r="92" spans="1:24" ht="10.5">
      <c r="A92" s="8"/>
      <c r="B92" s="8"/>
      <c r="C92" s="80"/>
      <c r="D92" s="16"/>
      <c r="E92" s="16"/>
      <c r="F92" s="16"/>
      <c r="G92" s="16"/>
      <c r="H92" s="16"/>
      <c r="I92" s="16"/>
      <c r="J92" s="67"/>
      <c r="K92" s="67"/>
      <c r="L92" s="67"/>
      <c r="M92" s="67"/>
      <c r="N92" s="23"/>
      <c r="O92" s="23"/>
      <c r="P92" s="23"/>
      <c r="Q92" s="23"/>
      <c r="R92" s="23"/>
      <c r="S92" s="23"/>
      <c r="T92" s="23"/>
      <c r="U92" s="8"/>
      <c r="V92" s="8"/>
      <c r="W92" s="8"/>
      <c r="X92" s="8"/>
    </row>
    <row r="93" spans="1:24" ht="12.3">
      <c r="A93" s="34"/>
      <c r="B93" s="40" t="s">
        <v>173</v>
      </c>
      <c r="C93" s="34"/>
      <c r="D93" s="34"/>
      <c r="E93" s="34"/>
      <c r="F93" s="35"/>
      <c r="G93" s="35"/>
      <c r="H93" s="35"/>
      <c r="I93" s="35"/>
      <c r="J93" s="36"/>
      <c r="K93" s="37"/>
      <c r="L93" s="36"/>
      <c r="M93" s="37"/>
      <c r="N93" s="36"/>
      <c r="O93" s="36"/>
      <c r="P93" s="36"/>
      <c r="Q93" s="36"/>
      <c r="R93" s="36"/>
      <c r="S93" s="36"/>
      <c r="T93" s="36"/>
      <c r="U93" s="36"/>
      <c r="V93" s="36"/>
      <c r="W93" s="37"/>
      <c r="X93" s="37"/>
    </row>
    <row r="94" spans="1:24" outlineLevel="1">
      <c r="A94" s="8"/>
      <c r="B94" s="8"/>
      <c r="C94" s="15"/>
      <c r="D94" s="16"/>
      <c r="E94" s="16"/>
      <c r="F94" s="16"/>
      <c r="G94" s="16"/>
      <c r="H94" s="16"/>
      <c r="I94" s="16"/>
      <c r="J94" s="67"/>
      <c r="K94" s="67"/>
      <c r="L94" s="67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</row>
    <row r="95" spans="1:24" ht="10.5" outlineLevel="1">
      <c r="A95" s="8"/>
      <c r="B95" s="8"/>
      <c r="C95" s="9"/>
      <c r="D95" s="16"/>
      <c r="E95" s="16"/>
      <c r="F95" s="16"/>
      <c r="G95" s="16"/>
      <c r="H95" s="16"/>
      <c r="I95" s="16"/>
      <c r="J95" s="102" t="str">
        <f>IF(YEAR(J$4)&gt;='Input|General'!$G$13,IF(YEAR(J$4)&lt;='Input|General'!$G$14,J$4,""),"")</f>
        <v/>
      </c>
      <c r="K95" s="102" t="str">
        <f>IF(YEAR(K$4)&gt;='Input|General'!$G$13,IF(YEAR(K$4)&lt;='Input|General'!$G$14,K$4,""),"")</f>
        <v/>
      </c>
      <c r="L95" s="102" t="str">
        <f>IF(YEAR(L$4)&gt;='Input|General'!$G$13,IF(YEAR(L$4)&lt;='Input|General'!$G$14,L$4,""),"")</f>
        <v/>
      </c>
      <c r="M95" s="102" t="str">
        <f>IF(YEAR(M$4)&gt;='Input|General'!$G$13,IF(YEAR(M$4)&lt;='Input|General'!$G$14,M$4,""),"")</f>
        <v/>
      </c>
      <c r="N95" s="102" t="str">
        <f>IF(YEAR(N$4)&gt;='Input|General'!$G$13,IF(YEAR(N$4)&lt;='Input|General'!$G$14,N$4,""),"")</f>
        <v/>
      </c>
      <c r="O95" s="102">
        <f>IF(YEAR(O$4)&gt;='Input|General'!$G$13,IF(YEAR(O$4)&lt;='Input|General'!$G$14,O$4,""),"")</f>
        <v>45809</v>
      </c>
      <c r="P95" s="102">
        <f>IF(YEAR(P$4)&gt;='Input|General'!$G$13,IF(YEAR(P$4)&lt;='Input|General'!$G$14,P$4,""),"")</f>
        <v>46174</v>
      </c>
      <c r="Q95" s="102">
        <f>IF(YEAR(Q$4)&gt;='Input|General'!$G$13,IF(YEAR(Q$4)&lt;='Input|General'!$G$14,Q$4,""),"")</f>
        <v>46539</v>
      </c>
      <c r="R95" s="102" t="str">
        <f>IF(YEAR(R$4)&gt;='Input|General'!$G$13,IF(YEAR(R$4)&lt;='Input|General'!$G$14,R$4,""),"")</f>
        <v/>
      </c>
      <c r="S95" s="102" t="str">
        <f>IF(YEAR(S$4)&gt;='Input|General'!$G$13,IF(YEAR(S$4)&lt;='Input|General'!$G$14,S$4,""),"")</f>
        <v/>
      </c>
      <c r="T95" s="102" t="str">
        <f>IF(YEAR(T$4)&gt;='Input|General'!$G$13,IF(YEAR(T$4)&lt;='Input|General'!$G$14,T$4,""),"")</f>
        <v/>
      </c>
      <c r="U95" s="8"/>
      <c r="V95" s="8"/>
      <c r="W95" s="8"/>
      <c r="X95" s="8"/>
    </row>
    <row r="96" spans="1:24" ht="10.5" outlineLevel="1">
      <c r="A96" s="8"/>
      <c r="B96" s="8"/>
      <c r="C96" s="9"/>
      <c r="D96" s="16"/>
      <c r="E96" s="16"/>
      <c r="F96" s="16"/>
      <c r="G96" s="16"/>
      <c r="H96" s="16"/>
      <c r="I96" s="16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"/>
      <c r="V96" s="8"/>
      <c r="W96" s="8"/>
      <c r="X96" s="8"/>
    </row>
    <row r="97" spans="1:24" ht="10.5" outlineLevel="1">
      <c r="A97" s="8"/>
      <c r="B97" s="8"/>
      <c r="C97" s="80" t="s">
        <v>188</v>
      </c>
      <c r="D97" s="21" t="s">
        <v>68</v>
      </c>
      <c r="E97" s="21" t="str">
        <f>$E$8</f>
        <v>$millions</v>
      </c>
      <c r="F97" s="105">
        <f t="shared" ref="F97:F99" si="13">$F$8</f>
        <v>45444</v>
      </c>
      <c r="G97" s="16"/>
      <c r="H97" s="16"/>
      <c r="I97" s="16"/>
      <c r="J97" s="93" t="str">
        <f t="shared" ref="J97:T97" si="14">IF(YEAR(J$4)&gt;=FPFirstYear,IF(YEAR(J$4)&lt;=FPLastYear,IF(ISBLANK(J95),"",(1+J56)*SUM($J39:$S39)+J79),""),"")</f>
        <v/>
      </c>
      <c r="K97" s="93" t="str">
        <f t="shared" si="14"/>
        <v/>
      </c>
      <c r="L97" s="93" t="str">
        <f t="shared" si="14"/>
        <v/>
      </c>
      <c r="M97" s="93" t="str">
        <f t="shared" si="14"/>
        <v/>
      </c>
      <c r="N97" s="93" t="str">
        <f t="shared" si="14"/>
        <v/>
      </c>
      <c r="O97" s="93">
        <f t="shared" ca="1" si="14"/>
        <v>14.851193415670419</v>
      </c>
      <c r="P97" s="93">
        <f t="shared" ca="1" si="14"/>
        <v>15.858587443032071</v>
      </c>
      <c r="Q97" s="93">
        <f t="shared" ca="1" si="14"/>
        <v>15.940528149054121</v>
      </c>
      <c r="R97" s="93" t="str">
        <f t="shared" si="14"/>
        <v/>
      </c>
      <c r="S97" s="93" t="str">
        <f t="shared" si="14"/>
        <v/>
      </c>
      <c r="T97" s="93" t="str">
        <f t="shared" si="14"/>
        <v/>
      </c>
      <c r="U97" s="8"/>
      <c r="V97" s="8"/>
      <c r="W97" s="8"/>
      <c r="X97" s="8"/>
    </row>
    <row r="98" spans="1:24" ht="10.5" outlineLevel="1">
      <c r="A98" s="8"/>
      <c r="B98" s="8"/>
      <c r="C98" s="80" t="s">
        <v>189</v>
      </c>
      <c r="D98" s="21" t="s">
        <v>68</v>
      </c>
      <c r="E98" s="21" t="str">
        <f>$E$8</f>
        <v>$millions</v>
      </c>
      <c r="F98" s="105">
        <f t="shared" si="13"/>
        <v>45444</v>
      </c>
      <c r="G98" s="16"/>
      <c r="H98" s="16"/>
      <c r="I98" s="16"/>
      <c r="J98" s="93" t="str">
        <f t="shared" ref="J98:T98" si="15">IF(YEAR(J$4)&gt;=FPFirstYear,IF(YEAR(J$4)&lt;=FPLastYear,IF(ISBLANK(J95),"",(1+J56)*SUM($J39:$S39)+J79+J91),""),"")</f>
        <v/>
      </c>
      <c r="K98" s="93" t="str">
        <f t="shared" si="15"/>
        <v/>
      </c>
      <c r="L98" s="93" t="str">
        <f t="shared" si="15"/>
        <v/>
      </c>
      <c r="M98" s="93" t="str">
        <f t="shared" si="15"/>
        <v/>
      </c>
      <c r="N98" s="93" t="str">
        <f t="shared" si="15"/>
        <v/>
      </c>
      <c r="O98" s="93">
        <f t="shared" ca="1" si="15"/>
        <v>20.060238541878824</v>
      </c>
      <c r="P98" s="93">
        <f t="shared" ca="1" si="15"/>
        <v>20.023231051737444</v>
      </c>
      <c r="Q98" s="93">
        <f t="shared" ca="1" si="15"/>
        <v>19.635910815442852</v>
      </c>
      <c r="R98" s="93" t="str">
        <f t="shared" si="15"/>
        <v/>
      </c>
      <c r="S98" s="93" t="str">
        <f t="shared" si="15"/>
        <v/>
      </c>
      <c r="T98" s="93" t="str">
        <f t="shared" si="15"/>
        <v/>
      </c>
      <c r="U98" s="8"/>
      <c r="V98" s="8"/>
      <c r="W98" s="8"/>
      <c r="X98" s="8"/>
    </row>
    <row r="99" spans="1:24" ht="10.5" outlineLevel="1">
      <c r="A99" s="8"/>
      <c r="B99" s="8"/>
      <c r="C99" s="80" t="s">
        <v>190</v>
      </c>
      <c r="D99" s="21" t="s">
        <v>68</v>
      </c>
      <c r="E99" s="21" t="str">
        <f>$E$8</f>
        <v>$millions</v>
      </c>
      <c r="F99" s="105">
        <f t="shared" si="13"/>
        <v>45444</v>
      </c>
      <c r="G99" s="16"/>
      <c r="H99" s="16"/>
      <c r="I99" s="16"/>
      <c r="J99" s="93" t="str">
        <f>IF(YEAR(J$4)&gt;=FPFirstYear,IF(YEAR(J$4)&lt;=FPLastYear,J98+'Input|Step changes'!J47,""),"")</f>
        <v/>
      </c>
      <c r="K99" s="93" t="str">
        <f>IF(YEAR(K$4)&gt;=FPFirstYear,IF(YEAR(K$4)&lt;=FPLastYear,K98+'Input|Step changes'!K47,""),"")</f>
        <v/>
      </c>
      <c r="L99" s="93" t="str">
        <f>IF(YEAR(L$4)&gt;=FPFirstYear,IF(YEAR(L$4)&lt;=FPLastYear,L98+'Input|Step changes'!L47,""),"")</f>
        <v/>
      </c>
      <c r="M99" s="93" t="str">
        <f>IF(YEAR(M$4)&gt;=FPFirstYear,IF(YEAR(M$4)&lt;=FPLastYear,M98+'Input|Step changes'!M47,""),"")</f>
        <v/>
      </c>
      <c r="N99" s="93" t="str">
        <f>IF(YEAR(N$4)&gt;=FPFirstYear,IF(YEAR(N$4)&lt;=FPLastYear,N98+'Input|Step changes'!N47,""),"")</f>
        <v/>
      </c>
      <c r="O99" s="93">
        <f ca="1">IF(YEAR(O$4)&gt;=FPFirstYear,IF(YEAR(O$4)&lt;=FPLastYear,O98+'Input|Step changes'!O47,""),"")</f>
        <v>20.060238541878824</v>
      </c>
      <c r="P99" s="93">
        <f ca="1">IF(YEAR(P$4)&gt;=FPFirstYear,IF(YEAR(P$4)&lt;=FPLastYear,P98+'Input|Step changes'!P47,""),"")</f>
        <v>20.023231051737444</v>
      </c>
      <c r="Q99" s="93">
        <f ca="1">IF(YEAR(Q$4)&gt;=FPFirstYear,IF(YEAR(Q$4)&lt;=FPLastYear,Q98+'Input|Step changes'!Q47,""),"")</f>
        <v>19.635910815442852</v>
      </c>
      <c r="R99" s="93" t="str">
        <f>IF(YEAR(R$4)&gt;=FPFirstYear,IF(YEAR(R$4)&lt;=FPLastYear,R98+'Input|Step changes'!R47,""),"")</f>
        <v/>
      </c>
      <c r="S99" s="93" t="str">
        <f>IF(YEAR(S$4)&gt;=FPFirstYear,IF(YEAR(S$4)&lt;=FPLastYear,S98+'Input|Step changes'!S47,""),"")</f>
        <v/>
      </c>
      <c r="T99" s="93" t="str">
        <f>IF(YEAR(T$4)&gt;=FPFirstYear,IF(YEAR(T$4)&lt;=FPLastYear,T98+'Input|Step changes'!T47,""),"")</f>
        <v/>
      </c>
      <c r="U99" s="8"/>
      <c r="V99" s="8"/>
      <c r="W99" s="8"/>
      <c r="X99" s="52"/>
    </row>
    <row r="100" spans="1:24" ht="10.5">
      <c r="A100" s="8"/>
      <c r="B100" s="8"/>
      <c r="C100" s="80"/>
      <c r="D100" s="16"/>
      <c r="E100" s="16"/>
      <c r="F100" s="16"/>
      <c r="G100" s="16"/>
      <c r="H100" s="16"/>
      <c r="I100" s="16"/>
      <c r="J100" s="67"/>
      <c r="K100" s="67"/>
      <c r="L100" s="67"/>
      <c r="M100" s="67"/>
      <c r="N100" s="23"/>
      <c r="O100" s="93"/>
      <c r="P100" s="93"/>
      <c r="Q100" s="93"/>
      <c r="R100" s="93"/>
      <c r="S100" s="93"/>
      <c r="T100" s="23"/>
      <c r="U100" s="8"/>
      <c r="V100" s="8"/>
      <c r="W100" s="8"/>
      <c r="X100" s="8"/>
    </row>
    <row r="101" spans="1:24" ht="12.3">
      <c r="A101" s="34"/>
      <c r="B101" s="40" t="s">
        <v>37</v>
      </c>
      <c r="C101" s="34"/>
      <c r="D101" s="34"/>
      <c r="E101" s="34"/>
      <c r="F101" s="35"/>
      <c r="G101" s="35"/>
      <c r="H101" s="35"/>
      <c r="I101" s="35"/>
      <c r="J101" s="36"/>
      <c r="K101" s="37"/>
      <c r="L101" s="36"/>
      <c r="M101" s="37"/>
      <c r="N101" s="36"/>
      <c r="O101" s="36"/>
      <c r="P101" s="36"/>
      <c r="Q101" s="36"/>
      <c r="R101" s="36"/>
      <c r="S101" s="36"/>
      <c r="T101" s="36"/>
      <c r="U101" s="36"/>
      <c r="V101" s="36"/>
      <c r="W101" s="37"/>
      <c r="X101" s="37"/>
    </row>
  </sheetData>
  <mergeCells count="1">
    <mergeCell ref="N3:S3"/>
  </mergeCells>
  <conditionalFormatting sqref="J10:T10">
    <cfRule type="expression" dxfId="45" priority="90">
      <formula>J$10=J$4</formula>
    </cfRule>
  </conditionalFormatting>
  <conditionalFormatting sqref="J12:T16">
    <cfRule type="cellIs" dxfId="44" priority="75" operator="equal">
      <formula>0</formula>
    </cfRule>
  </conditionalFormatting>
  <conditionalFormatting sqref="J17:T17">
    <cfRule type="expression" dxfId="43" priority="89">
      <formula>J$10=J$4</formula>
    </cfRule>
  </conditionalFormatting>
  <conditionalFormatting sqref="J18:T39">
    <cfRule type="cellIs" dxfId="42" priority="63" operator="equal">
      <formula>0</formula>
    </cfRule>
  </conditionalFormatting>
  <conditionalFormatting sqref="J39:T39">
    <cfRule type="expression" dxfId="41" priority="88">
      <formula>J$10=J$4</formula>
    </cfRule>
  </conditionalFormatting>
  <conditionalFormatting sqref="J43:T43 J60:T60 J83:T83">
    <cfRule type="expression" dxfId="40" priority="259">
      <formula>J$60=J$4</formula>
    </cfRule>
  </conditionalFormatting>
  <conditionalFormatting sqref="J43:T43">
    <cfRule type="expression" dxfId="39" priority="4">
      <formula>J$43=J$4</formula>
    </cfRule>
  </conditionalFormatting>
  <conditionalFormatting sqref="J46:T53">
    <cfRule type="cellIs" dxfId="38" priority="162" operator="equal">
      <formula>0</formula>
    </cfRule>
  </conditionalFormatting>
  <conditionalFormatting sqref="J55:T55">
    <cfRule type="expression" dxfId="37" priority="253">
      <formula>J$43=J$4</formula>
    </cfRule>
  </conditionalFormatting>
  <conditionalFormatting sqref="J55:T56">
    <cfRule type="cellIs" dxfId="36" priority="81" operator="equal">
      <formula>0</formula>
    </cfRule>
  </conditionalFormatting>
  <conditionalFormatting sqref="J62:T77 J85:T91">
    <cfRule type="cellIs" dxfId="35" priority="160" operator="equal">
      <formula>0</formula>
    </cfRule>
  </conditionalFormatting>
  <conditionalFormatting sqref="J79:T79">
    <cfRule type="expression" dxfId="34" priority="257">
      <formula>J$60=J$4</formula>
    </cfRule>
    <cfRule type="cellIs" dxfId="33" priority="258" operator="equal">
      <formula>0</formula>
    </cfRule>
  </conditionalFormatting>
  <conditionalFormatting sqref="J91:T91">
    <cfRule type="expression" dxfId="32" priority="255">
      <formula>J$83=J$4</formula>
    </cfRule>
  </conditionalFormatting>
  <conditionalFormatting sqref="J95:T95">
    <cfRule type="expression" dxfId="31" priority="266">
      <formula>J$95=J$4</formula>
    </cfRule>
  </conditionalFormatting>
  <conditionalFormatting sqref="J97:T99">
    <cfRule type="cellIs" dxfId="30" priority="91" operator="equal">
      <formula>0</formula>
    </cfRule>
  </conditionalFormatting>
  <conditionalFormatting sqref="O100:S100">
    <cfRule type="cellIs" dxfId="29" priority="2" operator="equal">
      <formula>0</formula>
    </cfRule>
  </conditionalFormatting>
  <conditionalFormatting sqref="Q11">
    <cfRule type="cellIs" dxfId="28" priority="1" operator="equal">
      <formula>0</formula>
    </cfRule>
  </conditionalFormatting>
  <conditionalFormatting sqref="S1:T1">
    <cfRule type="cellIs" dxfId="27" priority="169" operator="equal">
      <formula>"Check"</formula>
    </cfRule>
    <cfRule type="cellIs" dxfId="26" priority="170" operator="equal">
      <formula>"Ok"</formula>
    </cfRule>
  </conditionalFormatting>
  <conditionalFormatting sqref="W1">
    <cfRule type="cellIs" dxfId="25" priority="171" operator="equal">
      <formula>"Check"</formula>
    </cfRule>
    <cfRule type="cellIs" dxfId="24" priority="172" operator="equal">
      <formula>"Ok"</formula>
    </cfRule>
  </conditionalFormatting>
  <dataValidations disablePrompts="1" count="2">
    <dataValidation type="list" allowBlank="1" showInputMessage="1" showErrorMessage="1" sqref="F92 F80 F100" xr:uid="{00000000-0002-0000-0700-000000000000}">
      <formula1>"Real 2010,Real 2011,Real 2012,Real 2013,Real 2014,Real 2015,Nominal"</formula1>
    </dataValidation>
    <dataValidation type="list" allowBlank="1" showInputMessage="1" showErrorMessage="1" sqref="F78" xr:uid="{00000000-0002-0000-0700-000001000000}">
      <formula1>$G$45:$G$54</formula1>
    </dataValidation>
  </dataValidations>
  <hyperlinks>
    <hyperlink ref="J1" location="Index!A1" display="Back to Index" xr:uid="{00000000-0004-0000-0700-000000000000}"/>
    <hyperlink ref="V1" location="'Check|List'!A1" display="Overall Check:" xr:uid="{00000000-0004-0000-07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'Lookup|Tables'!$H$77:$H$81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86"/>
  <sheetViews>
    <sheetView showGridLines="0" workbookViewId="0"/>
  </sheetViews>
  <sheetFormatPr defaultColWidth="0" defaultRowHeight="10.199999999999999" zeroHeight="1"/>
  <cols>
    <col min="1" max="2" width="1.46484375" style="8" customWidth="1"/>
    <col min="3" max="3" width="59.6640625" style="8" bestFit="1" customWidth="1"/>
    <col min="4" max="4" width="27.6640625" style="16" customWidth="1"/>
    <col min="5" max="5" width="15.796875" style="16" customWidth="1"/>
    <col min="6" max="6" width="10.6640625" style="16" customWidth="1"/>
    <col min="7" max="9" width="3.33203125" style="16" customWidth="1"/>
    <col min="10" max="24" width="10.796875" style="8" customWidth="1"/>
    <col min="25" max="48" width="0" style="8" hidden="1" customWidth="1"/>
    <col min="49" max="16384" width="10.46484375" style="8" hidden="1"/>
  </cols>
  <sheetData>
    <row r="1" spans="1:27" s="29" customFormat="1" ht="15">
      <c r="B1" s="26" t="str">
        <f>Index!$B$1</f>
        <v>AER opex model - version: NTESMO 2024-27</v>
      </c>
      <c r="C1" s="26"/>
      <c r="D1" s="26"/>
      <c r="E1" s="26"/>
      <c r="F1" s="27"/>
      <c r="G1" s="27"/>
      <c r="H1" s="27"/>
      <c r="I1" s="27"/>
      <c r="J1" s="28" t="s">
        <v>38</v>
      </c>
      <c r="L1" s="30" t="s">
        <v>39</v>
      </c>
      <c r="M1" s="48" t="s">
        <v>40</v>
      </c>
      <c r="N1" s="11" t="s">
        <v>41</v>
      </c>
      <c r="O1" s="12" t="s">
        <v>42</v>
      </c>
      <c r="R1" s="30" t="s">
        <v>43</v>
      </c>
      <c r="S1" s="31" t="s">
        <v>140</v>
      </c>
      <c r="T1" s="31"/>
      <c r="V1" s="113" t="s">
        <v>44</v>
      </c>
      <c r="W1" s="31" t="str">
        <f>'Check|List'!$S$1</f>
        <v>Ok</v>
      </c>
    </row>
    <row r="2" spans="1:27" s="33" customFormat="1" ht="12.9" thickBot="1">
      <c r="B2" s="32" t="str">
        <f>Index!$C$14</f>
        <v>Output | Models</v>
      </c>
      <c r="C2" s="32"/>
      <c r="D2" s="32"/>
      <c r="E2" s="32"/>
      <c r="F2" s="55"/>
      <c r="G2" s="55"/>
      <c r="H2" s="55"/>
      <c r="I2" s="55"/>
    </row>
    <row r="3" spans="1:27" s="56" customFormat="1" ht="10.5">
      <c r="D3" s="110"/>
      <c r="E3" s="110"/>
      <c r="F3" s="110"/>
      <c r="G3" s="110"/>
      <c r="H3" s="110"/>
      <c r="I3" s="110"/>
      <c r="J3" s="104" t="s">
        <v>55</v>
      </c>
      <c r="K3" s="104"/>
      <c r="L3" s="104"/>
      <c r="M3" s="110"/>
      <c r="N3" s="210"/>
      <c r="O3" s="210"/>
      <c r="P3" s="210"/>
      <c r="Q3" s="210"/>
      <c r="R3" s="210"/>
      <c r="S3" s="210"/>
      <c r="T3" s="110"/>
      <c r="U3" s="57"/>
      <c r="V3" s="57"/>
      <c r="W3" s="57"/>
      <c r="X3" s="57"/>
      <c r="Y3" s="57"/>
      <c r="Z3" s="57"/>
      <c r="AA3" s="57"/>
    </row>
    <row r="4" spans="1:27" customFormat="1">
      <c r="A4" s="58"/>
      <c r="B4" s="58"/>
      <c r="C4" s="58"/>
      <c r="D4" s="59" t="s">
        <v>47</v>
      </c>
      <c r="E4" s="59" t="s">
        <v>70</v>
      </c>
      <c r="F4" s="60" t="s">
        <v>75</v>
      </c>
      <c r="G4" s="61"/>
      <c r="H4" s="61"/>
      <c r="I4" s="61"/>
      <c r="J4" s="97">
        <f>DATE(PPFirstYear,MONTH('Input|General'!$G$9),1)</f>
        <v>43983</v>
      </c>
      <c r="K4" s="97">
        <f>DATE(PPFirstYear+1,MONTH('Input|General'!$G$9),1)</f>
        <v>44348</v>
      </c>
      <c r="L4" s="97">
        <f>DATE(PPFirstYear+2,MONTH('Input|General'!$G$9),1)</f>
        <v>44713</v>
      </c>
      <c r="M4" s="97">
        <f>DATE(PPFirstYear+3,MONTH('Input|General'!$G$9),1)</f>
        <v>45078</v>
      </c>
      <c r="N4" s="97">
        <f>DATE(PPFirstYear+4,MONTH('Input|General'!$G$9),1)</f>
        <v>45444</v>
      </c>
      <c r="O4" s="97">
        <f>DATE(PPFirstYear+5,MONTH('Input|General'!$G$9),1)</f>
        <v>45809</v>
      </c>
      <c r="P4" s="97">
        <f>DATE(PPFirstYear+6,MONTH('Input|General'!$G$9),1)</f>
        <v>46174</v>
      </c>
      <c r="Q4" s="97">
        <f>DATE(PPFirstYear+7,MONTH('Input|General'!$G$9),1)</f>
        <v>46539</v>
      </c>
      <c r="R4" s="97">
        <f>DATE(PPFirstYear+8,MONTH('Input|General'!$G$9),1)</f>
        <v>46905</v>
      </c>
      <c r="S4" s="97">
        <f>DATE(PPFirstYear+9,MONTH('Input|General'!$G$9),1)</f>
        <v>47270</v>
      </c>
      <c r="T4" s="97">
        <f>DATE(PPFirstYear+10,MONTH('Input|General'!$G$9),1)</f>
        <v>47635</v>
      </c>
      <c r="U4" s="62"/>
      <c r="V4" s="62"/>
      <c r="W4" s="63"/>
      <c r="X4" s="63"/>
    </row>
    <row r="5" spans="1:27" s="6" customFormat="1" ht="3" customHeight="1">
      <c r="D5" s="22"/>
      <c r="E5" s="22"/>
      <c r="F5" s="22"/>
      <c r="G5" s="22"/>
      <c r="H5" s="22"/>
      <c r="I5" s="22"/>
    </row>
    <row r="6" spans="1:27" s="6" customFormat="1" ht="9" customHeight="1">
      <c r="D6" s="22"/>
      <c r="E6" s="22"/>
      <c r="F6" s="22"/>
      <c r="G6" s="22"/>
      <c r="H6" s="22"/>
      <c r="I6" s="22"/>
    </row>
    <row r="7" spans="1:27" s="6" customFormat="1" ht="3" customHeight="1">
      <c r="D7" s="22"/>
      <c r="E7" s="22"/>
      <c r="F7" s="22"/>
      <c r="G7" s="22"/>
      <c r="H7" s="22"/>
      <c r="I7" s="22"/>
    </row>
    <row r="8" spans="1:27" customFormat="1" ht="12.3">
      <c r="A8" s="34"/>
      <c r="B8" s="40" t="s">
        <v>191</v>
      </c>
      <c r="C8" s="34"/>
      <c r="D8" s="34"/>
      <c r="E8" s="54" t="s">
        <v>62</v>
      </c>
      <c r="F8" s="117">
        <f>DATE(PPLastYear,MONTH('Input|General'!$G$9),1)</f>
        <v>45444</v>
      </c>
      <c r="G8" s="35"/>
      <c r="H8" s="35"/>
      <c r="I8" s="35"/>
      <c r="J8" s="42" t="s">
        <v>192</v>
      </c>
      <c r="K8" s="37"/>
      <c r="L8" s="36"/>
      <c r="M8" s="37"/>
      <c r="N8" s="36"/>
      <c r="O8" s="36"/>
      <c r="P8" s="36"/>
      <c r="Q8" s="36"/>
      <c r="R8" s="36"/>
      <c r="S8" s="36"/>
      <c r="T8" s="36"/>
      <c r="U8" s="36"/>
      <c r="V8" s="36"/>
      <c r="W8" s="37"/>
      <c r="X8" s="37"/>
    </row>
    <row r="9" spans="1:27" ht="4.5" customHeight="1"/>
    <row r="10" spans="1:27">
      <c r="M10" s="67"/>
      <c r="N10" s="67"/>
      <c r="O10" s="67"/>
      <c r="P10" s="67"/>
      <c r="Q10" s="67"/>
      <c r="R10" s="67"/>
      <c r="S10" s="67"/>
      <c r="T10" s="67"/>
    </row>
    <row r="11" spans="1:27" ht="10.5">
      <c r="C11" s="9" t="s">
        <v>193</v>
      </c>
      <c r="D11" s="21" t="s">
        <v>47</v>
      </c>
      <c r="E11" s="21" t="s">
        <v>70</v>
      </c>
      <c r="F11" s="21" t="s">
        <v>75</v>
      </c>
      <c r="H11" s="21"/>
      <c r="I11" s="21"/>
      <c r="J11" s="102" t="str">
        <f>IF(YEAR(J$4)&gt;='Input|General'!$G$13,IF(YEAR(J$4)&lt;='Input|General'!$G$14,J$4,""),"")</f>
        <v/>
      </c>
      <c r="K11" s="102" t="str">
        <f>IF(YEAR(K$4)&gt;='Input|General'!$G$13,IF(YEAR(K$4)&lt;='Input|General'!$G$14,K$4,""),"")</f>
        <v/>
      </c>
      <c r="L11" s="102" t="str">
        <f>IF(YEAR(L$4)&gt;='Input|General'!$G$13,IF(YEAR(L$4)&lt;='Input|General'!$G$14,L$4,""),"")</f>
        <v/>
      </c>
      <c r="M11" s="102" t="str">
        <f>IF(YEAR(M$4)&gt;='Input|General'!$G$13,IF(YEAR(M$4)&lt;='Input|General'!$G$14,M$4,""),"")</f>
        <v/>
      </c>
      <c r="N11" s="102" t="str">
        <f>IF(YEAR(N$4)&gt;='Input|General'!$G$13,IF(YEAR(N$4)&lt;='Input|General'!$G$14,N$4,""),"")</f>
        <v/>
      </c>
      <c r="O11" s="102">
        <f>IF(YEAR(O$4)&gt;='Input|General'!$G$13,IF(YEAR(O$4)&lt;='Input|General'!$G$14,O$4,""),"")</f>
        <v>45809</v>
      </c>
      <c r="P11" s="102">
        <f>IF(YEAR(P$4)&gt;='Input|General'!$G$13,IF(YEAR(P$4)&lt;='Input|General'!$G$14,P$4,""),"")</f>
        <v>46174</v>
      </c>
      <c r="Q11" s="102">
        <f>IF(YEAR(Q$4)&gt;='Input|General'!$G$13,IF(YEAR(Q$4)&lt;='Input|General'!$G$14,Q$4,""),"")</f>
        <v>46539</v>
      </c>
      <c r="R11" s="102" t="str">
        <f>IF(YEAR(R$4)&gt;='Input|General'!$G$13,IF(YEAR(R$4)&lt;='Input|General'!$G$14,R$4,""),"")</f>
        <v/>
      </c>
      <c r="S11" s="102" t="str">
        <f>IF(YEAR(S$4)&gt;='Input|General'!$G$13,IF(YEAR(S$4)&lt;='Input|General'!$G$14,S$4,""),"")</f>
        <v/>
      </c>
      <c r="T11" s="102" t="str">
        <f>IF(YEAR(T$4)&gt;='Input|General'!$G$13,IF(YEAR(T$4)&lt;='Input|General'!$G$14,T$4,""),"")</f>
        <v/>
      </c>
      <c r="V11" s="89" t="s">
        <v>105</v>
      </c>
      <c r="W11" s="90"/>
      <c r="X11" s="90"/>
    </row>
    <row r="12" spans="1:27" ht="10.5">
      <c r="C12" s="9"/>
      <c r="D12" s="21"/>
      <c r="E12" s="21"/>
      <c r="F12" s="21"/>
      <c r="H12" s="21"/>
      <c r="I12" s="21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V12" s="9"/>
    </row>
    <row r="13" spans="1:27">
      <c r="C13" s="15" t="str">
        <f>'Calc|Opex forecast'!C98</f>
        <v>Total forecast opex, excluding debt raising costs</v>
      </c>
      <c r="D13" s="25" t="s">
        <v>194</v>
      </c>
      <c r="E13" s="16" t="str">
        <f>$E$8</f>
        <v>$millions</v>
      </c>
      <c r="F13" s="101">
        <f>$F$8</f>
        <v>45444</v>
      </c>
      <c r="H13" s="21"/>
      <c r="I13" s="21"/>
      <c r="J13" s="108"/>
      <c r="K13" s="108"/>
      <c r="L13" s="108"/>
      <c r="M13" s="108"/>
      <c r="N13" s="108"/>
      <c r="O13" s="108">
        <f ca="1">'Calc|Opex forecast'!O98</f>
        <v>20.060238541878824</v>
      </c>
      <c r="P13" s="108">
        <f ca="1">'Calc|Opex forecast'!P98</f>
        <v>20.023231051737444</v>
      </c>
      <c r="Q13" s="108">
        <f ca="1">'Calc|Opex forecast'!Q98</f>
        <v>19.635910815442852</v>
      </c>
      <c r="R13" s="108"/>
      <c r="S13" s="108"/>
      <c r="T13" s="108"/>
      <c r="U13" s="15"/>
      <c r="V13" s="94"/>
    </row>
    <row r="14" spans="1:27">
      <c r="C14" s="15"/>
      <c r="D14" s="25" t="s">
        <v>194</v>
      </c>
      <c r="E14" s="16" t="str">
        <f t="shared" ref="E14:E18" si="0">$E$8</f>
        <v>$millions</v>
      </c>
      <c r="F14" s="101">
        <f t="shared" ref="F14:F18" si="1">$F$8</f>
        <v>45444</v>
      </c>
      <c r="H14" s="21"/>
      <c r="I14" s="21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5"/>
      <c r="V14" s="94"/>
    </row>
    <row r="15" spans="1:27">
      <c r="C15" s="15"/>
      <c r="D15" s="25" t="s">
        <v>194</v>
      </c>
      <c r="E15" s="16" t="str">
        <f t="shared" si="0"/>
        <v>$millions</v>
      </c>
      <c r="F15" s="101">
        <f t="shared" si="1"/>
        <v>45444</v>
      </c>
      <c r="H15" s="21"/>
      <c r="I15" s="21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5"/>
      <c r="V15" s="94"/>
    </row>
    <row r="16" spans="1:27">
      <c r="C16" s="15"/>
      <c r="D16" s="25" t="s">
        <v>194</v>
      </c>
      <c r="E16" s="16" t="str">
        <f t="shared" si="0"/>
        <v>$millions</v>
      </c>
      <c r="F16" s="101">
        <f t="shared" si="1"/>
        <v>45444</v>
      </c>
      <c r="H16" s="21"/>
      <c r="I16" s="21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5"/>
      <c r="V16" s="94"/>
    </row>
    <row r="17" spans="3:22">
      <c r="C17" s="15"/>
      <c r="D17" s="25" t="s">
        <v>194</v>
      </c>
      <c r="E17" s="16" t="str">
        <f t="shared" si="0"/>
        <v>$millions</v>
      </c>
      <c r="F17" s="101">
        <f t="shared" si="1"/>
        <v>45444</v>
      </c>
      <c r="H17" s="21"/>
      <c r="I17" s="21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5"/>
      <c r="V17" s="118"/>
    </row>
    <row r="18" spans="3:22">
      <c r="C18" s="15"/>
      <c r="D18" s="25" t="s">
        <v>194</v>
      </c>
      <c r="E18" s="16" t="str">
        <f t="shared" si="0"/>
        <v>$millions</v>
      </c>
      <c r="F18" s="101">
        <f t="shared" si="1"/>
        <v>45444</v>
      </c>
      <c r="H18" s="21"/>
      <c r="I18" s="21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5"/>
      <c r="V18" s="118"/>
    </row>
    <row r="19" spans="3:22" ht="10.5">
      <c r="D19" s="25"/>
      <c r="H19" s="21"/>
      <c r="I19" s="21"/>
      <c r="T19" s="23"/>
    </row>
    <row r="20" spans="3:22" ht="10.5">
      <c r="C20" s="9" t="s">
        <v>195</v>
      </c>
      <c r="D20" s="21" t="s">
        <v>47</v>
      </c>
      <c r="E20" s="21" t="s">
        <v>70</v>
      </c>
      <c r="F20" s="21" t="s">
        <v>75</v>
      </c>
      <c r="H20" s="21"/>
      <c r="I20" s="21"/>
      <c r="T20" s="23"/>
    </row>
    <row r="21" spans="3:22" ht="10.5">
      <c r="D21" s="25"/>
      <c r="H21" s="21"/>
      <c r="I21" s="21"/>
      <c r="T21" s="23"/>
    </row>
    <row r="22" spans="3:22" ht="10.5">
      <c r="C22" s="15" t="s">
        <v>196</v>
      </c>
      <c r="D22" s="25" t="s">
        <v>194</v>
      </c>
      <c r="E22" s="16" t="str">
        <f t="shared" ref="E22:E24" si="2">$E$8</f>
        <v>$millions</v>
      </c>
      <c r="F22" s="101">
        <f t="shared" ref="F22:F24" si="3">$F$8</f>
        <v>45444</v>
      </c>
      <c r="H22" s="21"/>
      <c r="I22" s="21"/>
      <c r="O22" s="108">
        <f ca="1">'Calc|Opex forecast'!$M$39*'Input|PWC'!$J$53</f>
        <v>1.5470576390432871</v>
      </c>
      <c r="P22" s="108">
        <f ca="1">'Calc|Opex forecast'!$M$39*'Input|PWC'!$J$53</f>
        <v>1.5470576390432871</v>
      </c>
      <c r="Q22" s="108">
        <f ca="1">'Calc|Opex forecast'!$M$39*'Input|PWC'!$J$53</f>
        <v>1.5470576390432871</v>
      </c>
      <c r="T22" s="23"/>
    </row>
    <row r="23" spans="3:22" ht="10.5">
      <c r="C23" s="15" t="s">
        <v>197</v>
      </c>
      <c r="D23" s="25" t="s">
        <v>194</v>
      </c>
      <c r="E23" s="16" t="str">
        <f t="shared" si="2"/>
        <v>$millions</v>
      </c>
      <c r="F23" s="101">
        <f t="shared" si="3"/>
        <v>45444</v>
      </c>
      <c r="H23" s="21"/>
      <c r="I23" s="21"/>
      <c r="O23" s="108">
        <f>SUMIF('Calc|Opex forecast'!$H$62:$H$89,$C25,'Calc|Opex forecast'!O$62:O$89)</f>
        <v>2.4931514896622691</v>
      </c>
      <c r="P23" s="108">
        <f>SUMIF('Calc|Opex forecast'!$H$62:$H$89,$C25,'Calc|Opex forecast'!P$62:P$89)</f>
        <v>2.6467903510040722</v>
      </c>
      <c r="Q23" s="108">
        <f>SUMIF('Calc|Opex forecast'!$H$62:$H$89,$C25,'Calc|Opex forecast'!Q$62:Q$89)</f>
        <v>2.5429071955542764</v>
      </c>
      <c r="T23" s="23"/>
    </row>
    <row r="24" spans="3:22" ht="10.5">
      <c r="C24" s="15" t="s">
        <v>198</v>
      </c>
      <c r="D24" s="25" t="s">
        <v>194</v>
      </c>
      <c r="E24" s="16" t="str">
        <f t="shared" si="2"/>
        <v>$millions</v>
      </c>
      <c r="F24" s="101">
        <f t="shared" si="3"/>
        <v>45444</v>
      </c>
      <c r="H24" s="21"/>
      <c r="I24" s="21"/>
      <c r="O24" s="108">
        <f ca="1">('Calc|Opex forecast'!O$98-'Calc|Opex forecast'!O$79-'Calc|Opex forecast'!O$91)*'Input|PWC'!$J$53-O22</f>
        <v>2.4809530716836559E-2</v>
      </c>
      <c r="P24" s="108">
        <f ca="1">('Calc|Opex forecast'!P$98-'Calc|Opex forecast'!P$79-'Calc|Opex forecast'!P$91)*'Input|PWC'!$J$53-P22</f>
        <v>4.4525854143154131E-2</v>
      </c>
      <c r="Q24" s="108">
        <f ca="1">('Calc|Opex forecast'!Q$98-'Calc|Opex forecast'!Q$79-'Calc|Opex forecast'!Q$91)*'Input|PWC'!$J$53-Q22</f>
        <v>5.8189243371224775E-2</v>
      </c>
      <c r="T24" s="23"/>
    </row>
    <row r="25" spans="3:22" ht="10.5">
      <c r="C25" s="9" t="str">
        <f>'Lookup|Tables'!$G$30</f>
        <v>Market Operator</v>
      </c>
      <c r="D25" s="128" t="s">
        <v>126</v>
      </c>
      <c r="E25" s="21" t="str">
        <f t="shared" ref="E25:E32" si="4">$E$8</f>
        <v>$millions</v>
      </c>
      <c r="F25" s="105">
        <f t="shared" ref="F25:F32" si="5">$F$8</f>
        <v>45444</v>
      </c>
      <c r="H25" s="21"/>
      <c r="I25" s="21"/>
      <c r="O25" s="206">
        <f ca="1">SUM(O22:O24)</f>
        <v>4.0650186594223925</v>
      </c>
      <c r="P25" s="206">
        <f t="shared" ref="P25:Q25" ca="1" si="6">SUM(P22:P24)</f>
        <v>4.2383738441905141</v>
      </c>
      <c r="Q25" s="206">
        <f t="shared" ca="1" si="6"/>
        <v>4.1481540779687887</v>
      </c>
      <c r="T25" s="23"/>
    </row>
    <row r="26" spans="3:22" ht="10.5">
      <c r="D26" s="25"/>
      <c r="F26" s="101"/>
      <c r="H26" s="21"/>
      <c r="I26" s="21"/>
      <c r="O26" s="108"/>
      <c r="P26" s="108"/>
      <c r="Q26" s="108"/>
      <c r="T26" s="23"/>
    </row>
    <row r="27" spans="3:22" ht="10.5">
      <c r="C27" s="15" t="s">
        <v>196</v>
      </c>
      <c r="D27" s="25" t="s">
        <v>194</v>
      </c>
      <c r="E27" s="16" t="str">
        <f t="shared" ref="E27:E29" si="7">$E$8</f>
        <v>$millions</v>
      </c>
      <c r="F27" s="101">
        <f t="shared" ref="F27:F29" si="8">$F$8</f>
        <v>45444</v>
      </c>
      <c r="H27" s="21"/>
      <c r="I27" s="21"/>
      <c r="O27" s="108">
        <f ca="1">'Calc|Opex forecast'!$M$39*'Input|PWC'!$N$53</f>
        <v>8.8692959275922441</v>
      </c>
      <c r="P27" s="108">
        <f ca="1">'Calc|Opex forecast'!$M$39*'Input|PWC'!$N$53</f>
        <v>8.8692959275922441</v>
      </c>
      <c r="Q27" s="108">
        <f ca="1">'Calc|Opex forecast'!$M$39*'Input|PWC'!$N$53</f>
        <v>8.8692959275922441</v>
      </c>
      <c r="T27" s="23"/>
    </row>
    <row r="28" spans="3:22" ht="10.5">
      <c r="C28" s="15" t="s">
        <v>197</v>
      </c>
      <c r="D28" s="25" t="s">
        <v>194</v>
      </c>
      <c r="E28" s="16" t="str">
        <f t="shared" si="7"/>
        <v>$millions</v>
      </c>
      <c r="F28" s="101">
        <f t="shared" si="8"/>
        <v>45444</v>
      </c>
      <c r="H28" s="21"/>
      <c r="I28" s="21"/>
      <c r="O28" s="108">
        <f>SUMIF('Calc|Opex forecast'!$H$62:$H$89,$C30,'Calc|Opex forecast'!O$62:O$89)</f>
        <v>6.9836906830073016</v>
      </c>
      <c r="P28" s="108">
        <f>SUMIF('Calc|Opex forecast'!$H$62:$H$89,$C30,'Calc|Opex forecast'!P$62:P$89)</f>
        <v>6.660294141318106</v>
      </c>
      <c r="Q28" s="108">
        <f>SUMIF('Calc|Opex forecast'!$H$62:$H$89,$C30,'Calc|Opex forecast'!Q$62:Q$89)</f>
        <v>6.2848613328893315</v>
      </c>
      <c r="T28" s="23"/>
    </row>
    <row r="29" spans="3:22" ht="10.5">
      <c r="C29" s="15" t="s">
        <v>198</v>
      </c>
      <c r="D29" s="25" t="s">
        <v>194</v>
      </c>
      <c r="E29" s="16" t="str">
        <f t="shared" si="7"/>
        <v>$millions</v>
      </c>
      <c r="F29" s="101">
        <f t="shared" si="8"/>
        <v>45444</v>
      </c>
      <c r="H29" s="21"/>
      <c r="I29" s="21"/>
      <c r="O29" s="108">
        <f ca="1">('Calc|Opex forecast'!O$98-'Calc|Opex forecast'!O$79-'Calc|Opex forecast'!O$91)*'Input|PWC'!$N$53-O27</f>
        <v>0.14223327185688461</v>
      </c>
      <c r="P29" s="108">
        <f ca="1">('Calc|Opex forecast'!P$98-'Calc|Opex forecast'!P$79-'Calc|Opex forecast'!P$91)*'Input|PWC'!$N$53-P27</f>
        <v>0.25526713863658124</v>
      </c>
      <c r="Q29" s="108">
        <f ca="1">('Calc|Opex forecast'!Q$98-'Calc|Opex forecast'!Q$79-'Calc|Opex forecast'!Q$91)*'Input|PWC'!$N$53-Q27</f>
        <v>0.33359947699249126</v>
      </c>
      <c r="T29" s="23"/>
    </row>
    <row r="30" spans="3:22" ht="10.5">
      <c r="C30" s="9" t="str">
        <f>'Lookup|Tables'!$G$31</f>
        <v>System Control</v>
      </c>
      <c r="D30" s="128" t="s">
        <v>126</v>
      </c>
      <c r="E30" s="21" t="str">
        <f t="shared" si="4"/>
        <v>$millions</v>
      </c>
      <c r="F30" s="105">
        <f t="shared" si="5"/>
        <v>45444</v>
      </c>
      <c r="H30" s="21"/>
      <c r="I30" s="21"/>
      <c r="O30" s="206">
        <f ca="1">SUM(O27:O29)</f>
        <v>15.99521988245643</v>
      </c>
      <c r="P30" s="206">
        <f t="shared" ref="P30:Q30" ca="1" si="9">SUM(P27:P29)</f>
        <v>15.784857207546931</v>
      </c>
      <c r="Q30" s="206">
        <f t="shared" ca="1" si="9"/>
        <v>15.487756737474067</v>
      </c>
      <c r="T30" s="23"/>
    </row>
    <row r="31" spans="3:22" ht="10.5">
      <c r="D31" s="25"/>
      <c r="F31" s="101"/>
      <c r="H31" s="21"/>
      <c r="I31" s="21"/>
      <c r="O31" s="108"/>
      <c r="P31" s="108"/>
      <c r="Q31" s="108"/>
      <c r="T31" s="23"/>
    </row>
    <row r="32" spans="3:22" ht="10.5">
      <c r="C32" s="9" t="s">
        <v>89</v>
      </c>
      <c r="D32" s="21" t="s">
        <v>68</v>
      </c>
      <c r="E32" s="21" t="str">
        <f t="shared" si="4"/>
        <v>$millions</v>
      </c>
      <c r="F32" s="105">
        <f t="shared" si="5"/>
        <v>45444</v>
      </c>
      <c r="H32" s="21"/>
      <c r="I32" s="21"/>
      <c r="O32" s="206">
        <f ca="1">O25+O30</f>
        <v>20.060238541878824</v>
      </c>
      <c r="P32" s="206">
        <f t="shared" ref="P32:Q32" ca="1" si="10">P25+P30</f>
        <v>20.023231051737447</v>
      </c>
      <c r="Q32" s="206">
        <f t="shared" ca="1" si="10"/>
        <v>19.635910815442855</v>
      </c>
      <c r="T32" s="23"/>
    </row>
    <row r="33" spans="3:20" ht="10.5">
      <c r="D33" s="25"/>
      <c r="H33" s="21"/>
      <c r="I33" s="21"/>
      <c r="T33" s="23"/>
    </row>
    <row r="34" spans="3:20" ht="10.5">
      <c r="C34" s="17" t="s">
        <v>138</v>
      </c>
      <c r="D34" s="127" t="s">
        <v>126</v>
      </c>
      <c r="E34" s="127" t="s">
        <v>139</v>
      </c>
      <c r="F34" s="127" t="s">
        <v>140</v>
      </c>
      <c r="H34" s="21"/>
      <c r="I34" s="21"/>
      <c r="O34" s="172" t="str">
        <f ca="1">IF(SUM(O13:O18)=O32,"Ok","Check")</f>
        <v>Ok</v>
      </c>
      <c r="P34" s="172" t="str">
        <f t="shared" ref="P34:Q34" ca="1" si="11">IF(SUM(P13:P18)=P32,"Ok","Check")</f>
        <v>Ok</v>
      </c>
      <c r="Q34" s="172" t="str">
        <f t="shared" ca="1" si="11"/>
        <v>Ok</v>
      </c>
      <c r="T34" s="23"/>
    </row>
    <row r="35" spans="3:20" ht="10.5">
      <c r="D35" s="25"/>
      <c r="H35" s="21"/>
      <c r="I35" s="21"/>
      <c r="T35" s="23"/>
    </row>
    <row r="36" spans="3:20" ht="10.5">
      <c r="C36" s="9" t="s">
        <v>199</v>
      </c>
      <c r="D36" s="21" t="s">
        <v>47</v>
      </c>
      <c r="E36" s="21" t="s">
        <v>70</v>
      </c>
      <c r="F36" s="21" t="s">
        <v>75</v>
      </c>
      <c r="H36" s="21"/>
      <c r="I36" s="21"/>
      <c r="T36" s="23"/>
    </row>
    <row r="37" spans="3:20" ht="10.5">
      <c r="D37" s="25"/>
      <c r="H37" s="21"/>
      <c r="I37" s="21"/>
      <c r="T37" s="23"/>
    </row>
    <row r="38" spans="3:20" ht="10.5">
      <c r="C38" s="15" t="str">
        <f>'Input|PWC'!$C$47</f>
        <v>Personnel Costs</v>
      </c>
      <c r="D38" s="25" t="s">
        <v>194</v>
      </c>
      <c r="E38" s="16" t="str">
        <f t="shared" ref="E38:E68" si="12">$E$8</f>
        <v>$millions</v>
      </c>
      <c r="F38" s="101">
        <f t="shared" ref="F38:F68" si="13">$F$8</f>
        <v>45444</v>
      </c>
      <c r="H38" s="21"/>
      <c r="I38" s="21"/>
      <c r="O38" s="108">
        <f ca="1">('Calc|Opex forecast'!O$98-'Calc|Opex forecast'!O$91-'Calc|Opex forecast'!O$79)*'Input|PWC'!$Q47
+SUMIFS('Calc|Opex forecast'!O$62:O$90,'Calc|Opex forecast'!$G$62:$G$90,$C$42,'Calc|Opex forecast'!$I$62:$I$90,$C38)</f>
        <v>1.2342203350384802</v>
      </c>
      <c r="P38" s="108">
        <f ca="1">('Calc|Opex forecast'!P$98-'Calc|Opex forecast'!P$91-'Calc|Opex forecast'!P$79)*'Input|PWC'!$Q47
+SUMIFS('Calc|Opex forecast'!P$62:P$90,'Calc|Opex forecast'!$G$62:$G$90,$C$42,'Calc|Opex forecast'!$I$62:$I$90,$C38)</f>
        <v>1.2753540448158993</v>
      </c>
      <c r="Q38" s="108">
        <f ca="1">('Calc|Opex forecast'!Q$98-'Calc|Opex forecast'!Q$91-'Calc|Opex forecast'!Q$79)*'Input|PWC'!$Q47
+SUMIFS('Calc|Opex forecast'!Q$62:Q$90,'Calc|Opex forecast'!$G$62:$G$90,$C$42,'Calc|Opex forecast'!$I$62:$I$90,$C38)</f>
        <v>1.2835769651459485</v>
      </c>
      <c r="T38" s="23"/>
    </row>
    <row r="39" spans="3:20" ht="10.5">
      <c r="C39" s="15" t="str">
        <f>'Input|PWC'!$C$48</f>
        <v>Professional Fees</v>
      </c>
      <c r="D39" s="25" t="s">
        <v>194</v>
      </c>
      <c r="E39" s="16" t="str">
        <f t="shared" si="12"/>
        <v>$millions</v>
      </c>
      <c r="F39" s="101">
        <f t="shared" si="13"/>
        <v>45444</v>
      </c>
      <c r="H39" s="21"/>
      <c r="I39" s="21"/>
      <c r="O39" s="108">
        <f ca="1">('Calc|Opex forecast'!O$98-'Calc|Opex forecast'!O$91-'Calc|Opex forecast'!O$79)*'Input|PWC'!$Q48
+SUMIFS('Calc|Opex forecast'!O$62:O$90,'Calc|Opex forecast'!$G$62:$G$90,$C$42,'Calc|Opex forecast'!$I$62:$I$90,$C39)</f>
        <v>5.9242652484382272E-3</v>
      </c>
      <c r="P39" s="108">
        <f ca="1">('Calc|Opex forecast'!P$98-'Calc|Opex forecast'!P$91-'Calc|Opex forecast'!P$79)*'Input|PWC'!$Q48
+SUMIFS('Calc|Opex forecast'!P$62:P$90,'Calc|Opex forecast'!$G$62:$G$90,$C$42,'Calc|Opex forecast'!$I$62:$I$90,$C39)</f>
        <v>5.9985747905856885E-3</v>
      </c>
      <c r="Q39" s="108">
        <f ca="1">('Calc|Opex forecast'!Q$98-'Calc|Opex forecast'!Q$91-'Calc|Opex forecast'!Q$79)*'Input|PWC'!$Q48
+SUMIFS('Calc|Opex forecast'!Q$62:Q$90,'Calc|Opex forecast'!$G$62:$G$90,$C$42,'Calc|Opex forecast'!$I$62:$I$90,$C39)</f>
        <v>6.050071216961269E-3</v>
      </c>
      <c r="T39" s="23"/>
    </row>
    <row r="40" spans="3:20" ht="10.5">
      <c r="C40" s="15" t="str">
        <f>'Input|PWC'!$C$49</f>
        <v>Residual Costs</v>
      </c>
      <c r="D40" s="25" t="s">
        <v>194</v>
      </c>
      <c r="E40" s="16" t="str">
        <f t="shared" si="12"/>
        <v>$millions</v>
      </c>
      <c r="F40" s="101">
        <f t="shared" si="13"/>
        <v>45444</v>
      </c>
      <c r="H40" s="21"/>
      <c r="I40" s="21"/>
      <c r="O40" s="108">
        <f ca="1">('Calc|Opex forecast'!O$98-'Calc|Opex forecast'!O$91-'Calc|Opex forecast'!O$79)*'Input|PWC'!$Q49
+SUMIFS('Calc|Opex forecast'!O$62:O$90,'Calc|Opex forecast'!$G$62:$G$90,$C$42,'Calc|Opex forecast'!$I$62:$I$90,$C40)</f>
        <v>0.87859668211185249</v>
      </c>
      <c r="P40" s="108">
        <f ca="1">('Calc|Opex forecast'!P$98-'Calc|Opex forecast'!P$91-'Calc|Opex forecast'!P$79)*'Input|PWC'!$Q49
+SUMIFS('Calc|Opex forecast'!P$62:P$90,'Calc|Opex forecast'!$G$62:$G$90,$C$42,'Calc|Opex forecast'!$I$62:$I$90,$C40)</f>
        <v>1.0364939758482035</v>
      </c>
      <c r="Q40" s="108">
        <f ca="1">('Calc|Opex forecast'!Q$98-'Calc|Opex forecast'!Q$91-'Calc|Opex forecast'!Q$79)*'Input|PWC'!$Q49
+SUMIFS('Calc|Opex forecast'!Q$62:Q$90,'Calc|Opex forecast'!$G$62:$G$90,$C$42,'Calc|Opex forecast'!$I$62:$I$90,$C40)</f>
        <v>1.0461854175945797</v>
      </c>
      <c r="T40" s="23"/>
    </row>
    <row r="41" spans="3:20" ht="10.5">
      <c r="C41" s="15" t="str">
        <f>'Input|PWC'!$C$50</f>
        <v>Expensed Corporate Overheads</v>
      </c>
      <c r="D41" s="25" t="s">
        <v>194</v>
      </c>
      <c r="E41" s="16" t="str">
        <f t="shared" si="12"/>
        <v>$millions</v>
      </c>
      <c r="F41" s="101">
        <f t="shared" si="13"/>
        <v>45444</v>
      </c>
      <c r="H41" s="21"/>
      <c r="I41" s="21"/>
      <c r="O41" s="108">
        <f ca="1">('Calc|Opex forecast'!O$98-'Calc|Opex forecast'!O$91-'Calc|Opex forecast'!O$79)*'Input|PWC'!$Q50
+SUMIFS('Calc|Opex forecast'!O$62:O$90,'Calc|Opex forecast'!$G$62:$G$90,$C$42,'Calc|Opex forecast'!$I$62:$I$90,$C41)</f>
        <v>0.55959347121229752</v>
      </c>
      <c r="P41" s="108">
        <f ca="1">('Calc|Opex forecast'!P$98-'Calc|Opex forecast'!P$91-'Calc|Opex forecast'!P$79)*'Input|PWC'!$Q50
+SUMIFS('Calc|Opex forecast'!P$62:P$90,'Calc|Opex forecast'!$G$62:$G$90,$C$42,'Calc|Opex forecast'!$I$62:$I$90,$C41)</f>
        <v>0.50133599405108775</v>
      </c>
      <c r="Q41" s="108">
        <f ca="1">('Calc|Opex forecast'!Q$98-'Calc|Opex forecast'!Q$91-'Calc|Opex forecast'!Q$79)*'Input|PWC'!$Q50
+SUMIFS('Calc|Opex forecast'!Q$62:Q$90,'Calc|Opex forecast'!$G$62:$G$90,$C$42,'Calc|Opex forecast'!$I$62:$I$90,$C41)</f>
        <v>0.43726790158354978</v>
      </c>
      <c r="T41" s="23"/>
    </row>
    <row r="42" spans="3:20" ht="10.5">
      <c r="C42" s="9" t="str">
        <f>'Input|PWC'!$Q$46</f>
        <v>Market Operations (MO)</v>
      </c>
      <c r="D42" s="128" t="s">
        <v>126</v>
      </c>
      <c r="E42" s="21" t="str">
        <f t="shared" si="12"/>
        <v>$millions</v>
      </c>
      <c r="F42" s="105">
        <f t="shared" si="13"/>
        <v>45444</v>
      </c>
      <c r="H42" s="21"/>
      <c r="I42" s="21"/>
      <c r="O42" s="206">
        <f ca="1">SUM(O38:O41)</f>
        <v>2.6783347536110687</v>
      </c>
      <c r="P42" s="206">
        <f t="shared" ref="P42:Q42" ca="1" si="14">SUM(P38:P41)</f>
        <v>2.8191825895057763</v>
      </c>
      <c r="Q42" s="206">
        <f t="shared" ca="1" si="14"/>
        <v>2.7730803555410395</v>
      </c>
      <c r="T42" s="23"/>
    </row>
    <row r="43" spans="3:20" ht="10.5">
      <c r="D43" s="25"/>
      <c r="F43" s="101"/>
      <c r="H43" s="21"/>
      <c r="I43" s="21"/>
      <c r="O43" s="108"/>
      <c r="P43" s="108"/>
      <c r="Q43" s="108"/>
      <c r="T43" s="23"/>
    </row>
    <row r="44" spans="3:20" ht="10.5">
      <c r="C44" s="15" t="str">
        <f>'Input|PWC'!$C$47</f>
        <v>Personnel Costs</v>
      </c>
      <c r="D44" s="25" t="s">
        <v>194</v>
      </c>
      <c r="E44" s="16" t="str">
        <f t="shared" si="12"/>
        <v>$millions</v>
      </c>
      <c r="F44" s="101">
        <f t="shared" si="13"/>
        <v>45444</v>
      </c>
      <c r="H44" s="21"/>
      <c r="I44" s="21"/>
      <c r="O44" s="108">
        <f ca="1">('Calc|Opex forecast'!O$98-'Calc|Opex forecast'!O$91-'Calc|Opex forecast'!O$79)*'Input|PWC'!$R47
+SUMIFS('Calc|Opex forecast'!O$62:O$90,'Calc|Opex forecast'!$G$62:$G$90,$C$48,'Calc|Opex forecast'!$I$62:$I$90,$C44)</f>
        <v>0.93132503785879595</v>
      </c>
      <c r="P44" s="108">
        <f ca="1">('Calc|Opex forecast'!P$98-'Calc|Opex forecast'!P$91-'Calc|Opex forecast'!P$79)*'Input|PWC'!$R47
+SUMIFS('Calc|Opex forecast'!P$62:P$90,'Calc|Opex forecast'!$G$62:$G$90,$C$48,'Calc|Opex forecast'!$I$62:$I$90,$C44)</f>
        <v>1.0085504573198525</v>
      </c>
      <c r="Q44" s="108">
        <f ca="1">('Calc|Opex forecast'!Q$98-'Calc|Opex forecast'!Q$91-'Calc|Opex forecast'!Q$79)*'Input|PWC'!$R47
+SUMIFS('Calc|Opex forecast'!Q$62:Q$90,'Calc|Opex forecast'!$G$62:$G$90,$C$48,'Calc|Opex forecast'!$I$62:$I$90,$C44)</f>
        <v>1.0137287453928971</v>
      </c>
      <c r="T44" s="23"/>
    </row>
    <row r="45" spans="3:20" ht="10.5">
      <c r="C45" s="15" t="str">
        <f>'Input|PWC'!$C$48</f>
        <v>Professional Fees</v>
      </c>
      <c r="D45" s="25" t="s">
        <v>194</v>
      </c>
      <c r="E45" s="16" t="str">
        <f t="shared" si="12"/>
        <v>$millions</v>
      </c>
      <c r="F45" s="101">
        <f t="shared" si="13"/>
        <v>45444</v>
      </c>
      <c r="H45" s="21"/>
      <c r="I45" s="21"/>
      <c r="O45" s="108">
        <f ca="1">('Calc|Opex forecast'!O$98-'Calc|Opex forecast'!O$91-'Calc|Opex forecast'!O$79)*'Input|PWC'!$R48
+SUMIFS('Calc|Opex forecast'!O$62:O$90,'Calc|Opex forecast'!$G$62:$G$90,$C$48,'Calc|Opex forecast'!$I$62:$I$90,$C45)</f>
        <v>0</v>
      </c>
      <c r="P45" s="108">
        <f ca="1">('Calc|Opex forecast'!P$98-'Calc|Opex forecast'!P$91-'Calc|Opex forecast'!P$79)*'Input|PWC'!$R48
+SUMIFS('Calc|Opex forecast'!P$62:P$90,'Calc|Opex forecast'!$G$62:$G$90,$C$48,'Calc|Opex forecast'!$I$62:$I$90,$C45)</f>
        <v>0</v>
      </c>
      <c r="Q45" s="108">
        <f ca="1">('Calc|Opex forecast'!Q$98-'Calc|Opex forecast'!Q$91-'Calc|Opex forecast'!Q$79)*'Input|PWC'!$R48
+SUMIFS('Calc|Opex forecast'!Q$62:Q$90,'Calc|Opex forecast'!$G$62:$G$90,$C$48,'Calc|Opex forecast'!$I$62:$I$90,$C45)</f>
        <v>0</v>
      </c>
      <c r="T45" s="23"/>
    </row>
    <row r="46" spans="3:20" ht="10.5">
      <c r="C46" s="15" t="str">
        <f>'Input|PWC'!$C$49</f>
        <v>Residual Costs</v>
      </c>
      <c r="D46" s="25" t="s">
        <v>194</v>
      </c>
      <c r="E46" s="16" t="str">
        <f t="shared" si="12"/>
        <v>$millions</v>
      </c>
      <c r="F46" s="101">
        <f t="shared" si="13"/>
        <v>45444</v>
      </c>
      <c r="H46" s="21"/>
      <c r="I46" s="21"/>
      <c r="O46" s="108">
        <f ca="1">('Calc|Opex forecast'!O$98-'Calc|Opex forecast'!O$91-'Calc|Opex forecast'!O$79)*'Input|PWC'!$R49
+SUMIFS('Calc|Opex forecast'!O$62:O$90,'Calc|Opex forecast'!$G$62:$G$90,$C$48,'Calc|Opex forecast'!$I$62:$I$90,$C46)</f>
        <v>2.3042231766605685E-2</v>
      </c>
      <c r="P46" s="108">
        <f ca="1">('Calc|Opex forecast'!P$98-'Calc|Opex forecast'!P$91-'Calc|Opex forecast'!P$79)*'Input|PWC'!$R49
+SUMIFS('Calc|Opex forecast'!P$62:P$90,'Calc|Opex forecast'!$G$62:$G$90,$C$48,'Calc|Opex forecast'!$I$62:$I$90,$C46)</f>
        <v>2.3331256248263311E-2</v>
      </c>
      <c r="Q46" s="108">
        <f ca="1">('Calc|Opex forecast'!Q$98-'Calc|Opex forecast'!Q$91-'Calc|Opex forecast'!Q$79)*'Input|PWC'!$R49
+SUMIFS('Calc|Opex forecast'!Q$62:Q$90,'Calc|Opex forecast'!$G$62:$G$90,$C$48,'Calc|Opex forecast'!$I$62:$I$90,$C46)</f>
        <v>2.3531549878264245E-2</v>
      </c>
      <c r="T46" s="23"/>
    </row>
    <row r="47" spans="3:20" ht="10.5">
      <c r="C47" s="15" t="str">
        <f>'Input|PWC'!$C$50</f>
        <v>Expensed Corporate Overheads</v>
      </c>
      <c r="D47" s="25" t="s">
        <v>194</v>
      </c>
      <c r="E47" s="16" t="str">
        <f t="shared" si="12"/>
        <v>$millions</v>
      </c>
      <c r="F47" s="101">
        <f t="shared" si="13"/>
        <v>45444</v>
      </c>
      <c r="H47" s="21"/>
      <c r="I47" s="21"/>
      <c r="O47" s="108">
        <f ca="1">('Calc|Opex forecast'!O$98-'Calc|Opex forecast'!O$91-'Calc|Opex forecast'!O$79)*'Input|PWC'!$R50
+SUMIFS('Calc|Opex forecast'!O$62:O$90,'Calc|Opex forecast'!$G$62:$G$90,$C$48,'Calc|Opex forecast'!$I$62:$I$90,$C47)</f>
        <v>0.43231663618592298</v>
      </c>
      <c r="P47" s="108">
        <f ca="1">('Calc|Opex forecast'!P$98-'Calc|Opex forecast'!P$91-'Calc|Opex forecast'!P$79)*'Input|PWC'!$R50
+SUMIFS('Calc|Opex forecast'!P$62:P$90,'Calc|Opex forecast'!$G$62:$G$90,$C$48,'Calc|Opex forecast'!$I$62:$I$90,$C47)</f>
        <v>0.38730954111662125</v>
      </c>
      <c r="Q47" s="108">
        <f ca="1">('Calc|Opex forecast'!Q$98-'Calc|Opex forecast'!Q$91-'Calc|Opex forecast'!Q$79)*'Input|PWC'!$R50
+SUMIFS('Calc|Opex forecast'!Q$62:Q$90,'Calc|Opex forecast'!$G$62:$G$90,$C$48,'Calc|Opex forecast'!$I$62:$I$90,$C47)</f>
        <v>0.33781342715658769</v>
      </c>
      <c r="T47" s="23"/>
    </row>
    <row r="48" spans="3:20" ht="10.5">
      <c r="C48" s="9" t="str">
        <f>'Input|PWC'!$R$46</f>
        <v>NTEM Development (MO)</v>
      </c>
      <c r="D48" s="128" t="s">
        <v>126</v>
      </c>
      <c r="E48" s="21" t="str">
        <f t="shared" si="12"/>
        <v>$millions</v>
      </c>
      <c r="F48" s="105">
        <f t="shared" si="13"/>
        <v>45444</v>
      </c>
      <c r="H48" s="21"/>
      <c r="I48" s="21"/>
      <c r="O48" s="206">
        <f ca="1">SUM(O44:O47)</f>
        <v>1.3866839058113247</v>
      </c>
      <c r="P48" s="206">
        <f t="shared" ref="P48:Q48" ca="1" si="15">SUM(P44:P47)</f>
        <v>1.4191912546847369</v>
      </c>
      <c r="Q48" s="206">
        <f t="shared" ca="1" si="15"/>
        <v>1.3750737224277492</v>
      </c>
      <c r="T48" s="23"/>
    </row>
    <row r="49" spans="3:20" ht="10.5">
      <c r="D49" s="25"/>
      <c r="F49" s="101"/>
      <c r="H49" s="21"/>
      <c r="I49" s="21"/>
      <c r="O49" s="108"/>
      <c r="P49" s="108"/>
      <c r="Q49" s="108"/>
      <c r="T49" s="23"/>
    </row>
    <row r="50" spans="3:20" ht="10.5">
      <c r="C50" s="15" t="str">
        <f>'Input|PWC'!$C$47</f>
        <v>Personnel Costs</v>
      </c>
      <c r="D50" s="25" t="s">
        <v>194</v>
      </c>
      <c r="E50" s="16" t="str">
        <f t="shared" si="12"/>
        <v>$millions</v>
      </c>
      <c r="F50" s="101">
        <f t="shared" si="13"/>
        <v>45444</v>
      </c>
      <c r="H50" s="21"/>
      <c r="I50" s="21"/>
      <c r="O50" s="108">
        <f ca="1">('Calc|Opex forecast'!O$98-'Calc|Opex forecast'!O$91-'Calc|Opex forecast'!O$79)*'Input|PWC'!$S47
+SUMIFS('Calc|Opex forecast'!O$62:O$90,'Calc|Opex forecast'!$G$62:$G$90,$C$54,'Calc|Opex forecast'!$I$62:$I$90,$C50)</f>
        <v>2.3440056842687751</v>
      </c>
      <c r="P50" s="108">
        <f ca="1">('Calc|Opex forecast'!P$98-'Calc|Opex forecast'!P$91-'Calc|Opex forecast'!P$79)*'Input|PWC'!$S47
+SUMIFS('Calc|Opex forecast'!P$62:P$90,'Calc|Opex forecast'!$G$62:$G$90,$C$54,'Calc|Opex forecast'!$I$62:$I$90,$C50)</f>
        <v>2.370876876176399</v>
      </c>
      <c r="Q50" s="108">
        <f ca="1">('Calc|Opex forecast'!Q$98-'Calc|Opex forecast'!Q$91-'Calc|Opex forecast'!Q$79)*'Input|PWC'!$S47
+SUMIFS('Calc|Opex forecast'!Q$62:Q$90,'Calc|Opex forecast'!$G$62:$G$90,$C$54,'Calc|Opex forecast'!$I$62:$I$90,$C50)</f>
        <v>2.3894985809495095</v>
      </c>
      <c r="T50" s="23"/>
    </row>
    <row r="51" spans="3:20" ht="10.5">
      <c r="C51" s="15" t="str">
        <f>'Input|PWC'!$C$48</f>
        <v>Professional Fees</v>
      </c>
      <c r="D51" s="25" t="s">
        <v>194</v>
      </c>
      <c r="E51" s="16" t="str">
        <f t="shared" si="12"/>
        <v>$millions</v>
      </c>
      <c r="F51" s="101">
        <f t="shared" si="13"/>
        <v>45444</v>
      </c>
      <c r="H51" s="21"/>
      <c r="I51" s="21"/>
      <c r="O51" s="108">
        <f ca="1">('Calc|Opex forecast'!O$98-'Calc|Opex forecast'!O$91-'Calc|Opex forecast'!O$79)*'Input|PWC'!$S48
+SUMIFS('Calc|Opex forecast'!O$62:O$90,'Calc|Opex forecast'!$G$62:$G$90,$C$54,'Calc|Opex forecast'!$I$62:$I$90,$C51)</f>
        <v>0.37677486327528925</v>
      </c>
      <c r="P51" s="108">
        <f ca="1">('Calc|Opex forecast'!P$98-'Calc|Opex forecast'!P$91-'Calc|Opex forecast'!P$79)*'Input|PWC'!$S48
+SUMIFS('Calc|Opex forecast'!P$62:P$90,'Calc|Opex forecast'!$G$62:$G$90,$C$54,'Calc|Opex forecast'!$I$62:$I$90,$C51)</f>
        <v>0.38150084471071533</v>
      </c>
      <c r="Q51" s="108">
        <f ca="1">('Calc|Opex forecast'!Q$98-'Calc|Opex forecast'!Q$91-'Calc|Opex forecast'!Q$79)*'Input|PWC'!$S48
+SUMIFS('Calc|Opex forecast'!Q$62:Q$90,'Calc|Opex forecast'!$G$62:$G$90,$C$54,'Calc|Opex forecast'!$I$62:$I$90,$C51)</f>
        <v>0.38477594435483414</v>
      </c>
      <c r="T51" s="23"/>
    </row>
    <row r="52" spans="3:20" ht="10.5">
      <c r="C52" s="15" t="str">
        <f>'Input|PWC'!$C$49</f>
        <v>Residual Costs</v>
      </c>
      <c r="D52" s="25" t="s">
        <v>194</v>
      </c>
      <c r="E52" s="16" t="str">
        <f t="shared" si="12"/>
        <v>$millions</v>
      </c>
      <c r="F52" s="101">
        <f t="shared" si="13"/>
        <v>45444</v>
      </c>
      <c r="H52" s="21"/>
      <c r="I52" s="21"/>
      <c r="O52" s="108">
        <f ca="1">('Calc|Opex forecast'!O$98-'Calc|Opex forecast'!O$91-'Calc|Opex forecast'!O$79)*'Input|PWC'!$S49
+SUMIFS('Calc|Opex forecast'!O$62:O$90,'Calc|Opex forecast'!$G$62:$G$90,$C$54,'Calc|Opex forecast'!$I$62:$I$90,$C52)</f>
        <v>8.3100559484969819E-2</v>
      </c>
      <c r="P52" s="108">
        <f ca="1">('Calc|Opex forecast'!P$98-'Calc|Opex forecast'!P$91-'Calc|Opex forecast'!P$79)*'Input|PWC'!$S49
+SUMIFS('Calc|Opex forecast'!P$62:P$90,'Calc|Opex forecast'!$G$62:$G$90,$C$54,'Calc|Opex forecast'!$I$62:$I$90,$C52)</f>
        <v>8.4142910606765708E-2</v>
      </c>
      <c r="Q52" s="108">
        <f ca="1">('Calc|Opex forecast'!Q$98-'Calc|Opex forecast'!Q$91-'Calc|Opex forecast'!Q$79)*'Input|PWC'!$S49
+SUMIFS('Calc|Opex forecast'!Q$62:Q$90,'Calc|Opex forecast'!$G$62:$G$90,$C$54,'Calc|Opex forecast'!$I$62:$I$90,$C52)</f>
        <v>8.4865258723169745E-2</v>
      </c>
      <c r="T52" s="23"/>
    </row>
    <row r="53" spans="3:20" ht="10.5">
      <c r="C53" s="15" t="str">
        <f>'Input|PWC'!$C$50</f>
        <v>Expensed Corporate Overheads</v>
      </c>
      <c r="D53" s="25" t="s">
        <v>194</v>
      </c>
      <c r="E53" s="16" t="str">
        <f t="shared" si="12"/>
        <v>$millions</v>
      </c>
      <c r="F53" s="101">
        <f t="shared" si="13"/>
        <v>45444</v>
      </c>
      <c r="H53" s="21"/>
      <c r="I53" s="21"/>
      <c r="O53" s="108">
        <f ca="1">('Calc|Opex forecast'!O$98-'Calc|Opex forecast'!O$91-'Calc|Opex forecast'!O$79)*'Input|PWC'!$S50
+SUMIFS('Calc|Opex forecast'!O$62:O$90,'Calc|Opex forecast'!$G$62:$G$90,$C$54,'Calc|Opex forecast'!$I$62:$I$90,$C53)</f>
        <v>1.1227591246442172</v>
      </c>
      <c r="P53" s="108">
        <f ca="1">('Calc|Opex forecast'!P$98-'Calc|Opex forecast'!P$91-'Calc|Opex forecast'!P$79)*'Input|PWC'!$S50
+SUMIFS('Calc|Opex forecast'!P$62:P$90,'Calc|Opex forecast'!$G$62:$G$90,$C$54,'Calc|Opex forecast'!$I$62:$I$90,$C53)</f>
        <v>1.005872281915694</v>
      </c>
      <c r="Q53" s="108">
        <f ca="1">('Calc|Opex forecast'!Q$98-'Calc|Opex forecast'!Q$91-'Calc|Opex forecast'!Q$79)*'Input|PWC'!$S50
+SUMIFS('Calc|Opex forecast'!Q$62:Q$90,'Calc|Opex forecast'!$G$62:$G$90,$C$54,'Calc|Opex forecast'!$I$62:$I$90,$C53)</f>
        <v>0.87732711633210914</v>
      </c>
      <c r="T53" s="23"/>
    </row>
    <row r="54" spans="3:20" ht="10.5">
      <c r="C54" s="9" t="str">
        <f>'Input|PWC'!$S$46</f>
        <v>Operations Planning (SC)</v>
      </c>
      <c r="D54" s="128" t="s">
        <v>126</v>
      </c>
      <c r="E54" s="21" t="str">
        <f t="shared" si="12"/>
        <v>$millions</v>
      </c>
      <c r="F54" s="105">
        <f t="shared" si="13"/>
        <v>45444</v>
      </c>
      <c r="H54" s="21"/>
      <c r="I54" s="21"/>
      <c r="O54" s="206">
        <f ca="1">SUM(O50:O53)</f>
        <v>3.9266402316732512</v>
      </c>
      <c r="P54" s="206">
        <f t="shared" ref="P54:Q54" ca="1" si="16">SUM(P50:P53)</f>
        <v>3.8423929134095745</v>
      </c>
      <c r="Q54" s="206">
        <f t="shared" ca="1" si="16"/>
        <v>3.7364669003596225</v>
      </c>
      <c r="T54" s="23"/>
    </row>
    <row r="55" spans="3:20" ht="10.5">
      <c r="D55" s="25"/>
      <c r="F55" s="101"/>
      <c r="H55" s="21"/>
      <c r="I55" s="21"/>
      <c r="O55" s="108"/>
      <c r="P55" s="108"/>
      <c r="Q55" s="108"/>
      <c r="T55" s="23"/>
    </row>
    <row r="56" spans="3:20" ht="10.5">
      <c r="C56" s="15" t="str">
        <f>'Input|PWC'!$C$47</f>
        <v>Personnel Costs</v>
      </c>
      <c r="D56" s="25" t="s">
        <v>194</v>
      </c>
      <c r="E56" s="16" t="str">
        <f t="shared" si="12"/>
        <v>$millions</v>
      </c>
      <c r="F56" s="101">
        <f t="shared" si="13"/>
        <v>45444</v>
      </c>
      <c r="H56" s="21"/>
      <c r="I56" s="21"/>
      <c r="O56" s="108">
        <f ca="1">('Calc|Opex forecast'!O$98-'Calc|Opex forecast'!O$91-'Calc|Opex forecast'!O$79)*'Input|PWC'!$T47
+SUMIFS('Calc|Opex forecast'!O$62:O$90,'Calc|Opex forecast'!$G$62:$G$90,$C$60,'Calc|Opex forecast'!$I$62:$I$90,$C56)</f>
        <v>1.4097440866519384</v>
      </c>
      <c r="P56" s="108">
        <f ca="1">('Calc|Opex forecast'!P$98-'Calc|Opex forecast'!P$91-'Calc|Opex forecast'!P$79)*'Input|PWC'!$T47
+SUMIFS('Calc|Opex forecast'!P$62:P$90,'Calc|Opex forecast'!$G$62:$G$90,$C$60,'Calc|Opex forecast'!$I$62:$I$90,$C56)</f>
        <v>1.5246162016284903</v>
      </c>
      <c r="Q56" s="108">
        <f ca="1">('Calc|Opex forecast'!Q$98-'Calc|Opex forecast'!Q$91-'Calc|Opex forecast'!Q$79)*'Input|PWC'!$T47
+SUMIFS('Calc|Opex forecast'!Q$62:Q$90,'Calc|Opex forecast'!$G$62:$G$90,$C$60,'Calc|Opex forecast'!$I$62:$I$90,$C56)</f>
        <v>1.5266954387426446</v>
      </c>
      <c r="T56" s="23"/>
    </row>
    <row r="57" spans="3:20" ht="10.5">
      <c r="C57" s="15" t="str">
        <f>'Input|PWC'!$C$48</f>
        <v>Professional Fees</v>
      </c>
      <c r="D57" s="25" t="s">
        <v>194</v>
      </c>
      <c r="E57" s="16" t="str">
        <f t="shared" si="12"/>
        <v>$millions</v>
      </c>
      <c r="F57" s="101">
        <f t="shared" si="13"/>
        <v>45444</v>
      </c>
      <c r="H57" s="21"/>
      <c r="I57" s="21"/>
      <c r="O57" s="108">
        <f ca="1">('Calc|Opex forecast'!O$98-'Calc|Opex forecast'!O$91-'Calc|Opex forecast'!O$79)*'Input|PWC'!$T48
+SUMIFS('Calc|Opex forecast'!O$62:O$90,'Calc|Opex forecast'!$G$62:$G$90,$C$60,'Calc|Opex forecast'!$I$62:$I$90,$C57)</f>
        <v>0.58264083592793114</v>
      </c>
      <c r="P57" s="108">
        <f ca="1">('Calc|Opex forecast'!P$98-'Calc|Opex forecast'!P$91-'Calc|Opex forecast'!P$79)*'Input|PWC'!$T48
+SUMIFS('Calc|Opex forecast'!P$62:P$90,'Calc|Opex forecast'!$G$62:$G$90,$C$60,'Calc|Opex forecast'!$I$62:$I$90,$C57)</f>
        <v>1.0741059092473133</v>
      </c>
      <c r="Q57" s="108">
        <f ca="1">('Calc|Opex forecast'!Q$98-'Calc|Opex forecast'!Q$91-'Calc|Opex forecast'!Q$79)*'Input|PWC'!$T48
+SUMIFS('Calc|Opex forecast'!Q$62:Q$90,'Calc|Opex forecast'!$G$62:$G$90,$C$60,'Calc|Opex forecast'!$I$62:$I$90,$C57)</f>
        <v>1.0758630614798184</v>
      </c>
      <c r="T57" s="23"/>
    </row>
    <row r="58" spans="3:20" ht="10.5">
      <c r="C58" s="15" t="str">
        <f>'Input|PWC'!$C$49</f>
        <v>Residual Costs</v>
      </c>
      <c r="D58" s="25" t="s">
        <v>194</v>
      </c>
      <c r="E58" s="16" t="str">
        <f t="shared" si="12"/>
        <v>$millions</v>
      </c>
      <c r="F58" s="101">
        <f t="shared" si="13"/>
        <v>45444</v>
      </c>
      <c r="H58" s="21"/>
      <c r="I58" s="21"/>
      <c r="O58" s="108">
        <f ca="1">('Calc|Opex forecast'!O$98-'Calc|Opex forecast'!O$91-'Calc|Opex forecast'!O$79)*'Input|PWC'!$T49
+SUMIFS('Calc|Opex forecast'!O$62:O$90,'Calc|Opex forecast'!$G$62:$G$90,$C$60,'Calc|Opex forecast'!$I$62:$I$90,$C58)</f>
        <v>0.99125510609708589</v>
      </c>
      <c r="P58" s="108">
        <f ca="1">('Calc|Opex forecast'!P$98-'Calc|Opex forecast'!P$91-'Calc|Opex forecast'!P$79)*'Input|PWC'!$T49
+SUMIFS('Calc|Opex forecast'!P$62:P$90,'Calc|Opex forecast'!$G$62:$G$90,$C$60,'Calc|Opex forecast'!$I$62:$I$90,$C58)</f>
        <v>0.9094863260346373</v>
      </c>
      <c r="Q58" s="108">
        <f ca="1">('Calc|Opex forecast'!Q$98-'Calc|Opex forecast'!Q$91-'Calc|Opex forecast'!Q$79)*'Input|PWC'!$T49
+SUMIFS('Calc|Opex forecast'!Q$62:Q$90,'Calc|Opex forecast'!$G$62:$G$90,$C$60,'Calc|Opex forecast'!$I$62:$I$90,$C58)</f>
        <v>0.89101902033208058</v>
      </c>
      <c r="T58" s="23"/>
    </row>
    <row r="59" spans="3:20" ht="10.5">
      <c r="C59" s="15" t="str">
        <f>'Input|PWC'!$C$50</f>
        <v>Expensed Corporate Overheads</v>
      </c>
      <c r="D59" s="25" t="s">
        <v>194</v>
      </c>
      <c r="E59" s="16" t="str">
        <f t="shared" si="12"/>
        <v>$millions</v>
      </c>
      <c r="F59" s="101">
        <f t="shared" si="13"/>
        <v>45444</v>
      </c>
      <c r="H59" s="21"/>
      <c r="I59" s="21"/>
      <c r="O59" s="108">
        <f ca="1">('Calc|Opex forecast'!O$98-'Calc|Opex forecast'!O$91-'Calc|Opex forecast'!O$79)*'Input|PWC'!$T50
+SUMIFS('Calc|Opex forecast'!O$62:O$90,'Calc|Opex forecast'!$G$62:$G$90,$C$60,'Calc|Opex forecast'!$I$62:$I$90,$C59)</f>
        <v>0.91759168714003847</v>
      </c>
      <c r="P59" s="108">
        <f ca="1">('Calc|Opex forecast'!P$98-'Calc|Opex forecast'!P$91-'Calc|Opex forecast'!P$79)*'Input|PWC'!$T50
+SUMIFS('Calc|Opex forecast'!P$62:P$90,'Calc|Opex forecast'!$G$62:$G$90,$C$60,'Calc|Opex forecast'!$I$62:$I$90,$C59)</f>
        <v>0.31995958989722323</v>
      </c>
      <c r="Q59" s="108">
        <f ca="1">('Calc|Opex forecast'!Q$98-'Calc|Opex forecast'!Q$91-'Calc|Opex forecast'!Q$79)*'Input|PWC'!$T50
+SUMIFS('Calc|Opex forecast'!Q$62:Q$90,'Calc|Opex forecast'!$G$62:$G$90,$C$60,'Calc|Opex forecast'!$I$62:$I$90,$C59)</f>
        <v>0.34202896127907373</v>
      </c>
      <c r="T59" s="23"/>
    </row>
    <row r="60" spans="3:20" ht="10.5">
      <c r="C60" s="9" t="str">
        <f>'Input|PWC'!$T$46</f>
        <v>Power System Evolution (SC)</v>
      </c>
      <c r="D60" s="128" t="s">
        <v>126</v>
      </c>
      <c r="E60" s="21" t="str">
        <f t="shared" si="12"/>
        <v>$millions</v>
      </c>
      <c r="F60" s="105">
        <f t="shared" si="13"/>
        <v>45444</v>
      </c>
      <c r="H60" s="21"/>
      <c r="I60" s="21"/>
      <c r="O60" s="206">
        <f ca="1">SUM(O56:O59)</f>
        <v>3.9012317158169938</v>
      </c>
      <c r="P60" s="206">
        <f t="shared" ref="P60:Q60" ca="1" si="17">SUM(P56:P59)</f>
        <v>3.8281680268076643</v>
      </c>
      <c r="Q60" s="206">
        <f t="shared" ca="1" si="17"/>
        <v>3.8356064818336169</v>
      </c>
      <c r="T60" s="23"/>
    </row>
    <row r="61" spans="3:20" ht="10.5">
      <c r="D61" s="25"/>
      <c r="F61" s="101"/>
      <c r="H61" s="21"/>
      <c r="I61" s="21"/>
      <c r="O61" s="108"/>
      <c r="P61" s="108"/>
      <c r="Q61" s="108"/>
      <c r="T61" s="23"/>
    </row>
    <row r="62" spans="3:20" ht="10.5">
      <c r="C62" s="15" t="str">
        <f>'Input|PWC'!$C$47</f>
        <v>Personnel Costs</v>
      </c>
      <c r="D62" s="25" t="s">
        <v>194</v>
      </c>
      <c r="E62" s="16" t="str">
        <f t="shared" ref="E62:E65" si="18">$E$8</f>
        <v>$millions</v>
      </c>
      <c r="F62" s="101">
        <f t="shared" ref="F62:F65" si="19">$F$8</f>
        <v>45444</v>
      </c>
      <c r="H62" s="21"/>
      <c r="I62" s="21"/>
      <c r="O62" s="108">
        <f ca="1">('Calc|Opex forecast'!O$98-'Calc|Opex forecast'!O$91-'Calc|Opex forecast'!O$79)*'Input|PWC'!$U47
+SUMIFS('Calc|Opex forecast'!O$62:O$90,'Calc|Opex forecast'!$G$62:$G$90,$C$66,'Calc|Opex forecast'!$I$62:$I$90,$C62)</f>
        <v>5.7574493371260473</v>
      </c>
      <c r="P62" s="108">
        <f ca="1">('Calc|Opex forecast'!P$98-'Calc|Opex forecast'!P$91-'Calc|Opex forecast'!P$79)*'Input|PWC'!$U47
+SUMIFS('Calc|Opex forecast'!P$62:P$90,'Calc|Opex forecast'!$G$62:$G$90,$C$66,'Calc|Opex forecast'!$I$62:$I$90,$C62)</f>
        <v>5.9280916626267022</v>
      </c>
      <c r="Q62" s="108">
        <f ca="1">('Calc|Opex forecast'!Q$98-'Calc|Opex forecast'!Q$91-'Calc|Opex forecast'!Q$79)*'Input|PWC'!$U47
+SUMIFS('Calc|Opex forecast'!Q$62:Q$90,'Calc|Opex forecast'!$G$62:$G$90,$C$66,'Calc|Opex forecast'!$I$62:$I$90,$C62)</f>
        <v>5.9766733552326041</v>
      </c>
      <c r="T62" s="23"/>
    </row>
    <row r="63" spans="3:20" ht="10.5">
      <c r="C63" s="15" t="str">
        <f>'Input|PWC'!$C$48</f>
        <v>Professional Fees</v>
      </c>
      <c r="D63" s="25" t="s">
        <v>194</v>
      </c>
      <c r="E63" s="16" t="str">
        <f t="shared" si="18"/>
        <v>$millions</v>
      </c>
      <c r="F63" s="101">
        <f t="shared" si="19"/>
        <v>45444</v>
      </c>
      <c r="H63" s="21"/>
      <c r="I63" s="21"/>
      <c r="O63" s="108">
        <f ca="1">('Calc|Opex forecast'!O$98-'Calc|Opex forecast'!O$91-'Calc|Opex forecast'!O$79)*'Input|PWC'!$U48
+SUMIFS('Calc|Opex forecast'!O$62:O$90,'Calc|Opex forecast'!$G$62:$G$90,$C$66,'Calc|Opex forecast'!$I$62:$I$90,$C63)</f>
        <v>7.6004112815027877E-2</v>
      </c>
      <c r="P63" s="108">
        <f ca="1">('Calc|Opex forecast'!P$98-'Calc|Opex forecast'!P$91-'Calc|Opex forecast'!P$79)*'Input|PWC'!$U48
+SUMIFS('Calc|Opex forecast'!P$62:P$90,'Calc|Opex forecast'!$G$62:$G$90,$C$66,'Calc|Opex forecast'!$I$62:$I$90,$C63)</f>
        <v>7.6957451429651463E-2</v>
      </c>
      <c r="Q63" s="108">
        <f ca="1">('Calc|Opex forecast'!Q$98-'Calc|Opex forecast'!Q$91-'Calc|Opex forecast'!Q$79)*'Input|PWC'!$U48
+SUMIFS('Calc|Opex forecast'!Q$62:Q$90,'Calc|Opex forecast'!$G$62:$G$90,$C$66,'Calc|Opex forecast'!$I$62:$I$90,$C63)</f>
        <v>7.7618113981999567E-2</v>
      </c>
      <c r="T63" s="23"/>
    </row>
    <row r="64" spans="3:20" ht="10.5">
      <c r="C64" s="15" t="str">
        <f>'Input|PWC'!$C$49</f>
        <v>Residual Costs</v>
      </c>
      <c r="D64" s="25" t="s">
        <v>194</v>
      </c>
      <c r="E64" s="16" t="str">
        <f t="shared" si="18"/>
        <v>$millions</v>
      </c>
      <c r="F64" s="101">
        <f t="shared" si="19"/>
        <v>45444</v>
      </c>
      <c r="H64" s="21"/>
      <c r="I64" s="21"/>
      <c r="O64" s="108">
        <f ca="1">('Calc|Opex forecast'!O$98-'Calc|Opex forecast'!O$91-'Calc|Opex forecast'!O$79)*'Input|PWC'!$U49
+SUMIFS('Calc|Opex forecast'!O$62:O$90,'Calc|Opex forecast'!$G$62:$G$90,$C$66,'Calc|Opex forecast'!$I$62:$I$90,$C64)</f>
        <v>0.15711027799918389</v>
      </c>
      <c r="P64" s="108">
        <f ca="1">('Calc|Opex forecast'!P$98-'Calc|Opex forecast'!P$91-'Calc|Opex forecast'!P$79)*'Input|PWC'!$U49
+SUMIFS('Calc|Opex forecast'!P$62:P$90,'Calc|Opex forecast'!$G$62:$G$90,$C$66,'Calc|Opex forecast'!$I$62:$I$90,$C64)</f>
        <v>0.15908095154859281</v>
      </c>
      <c r="Q64" s="108">
        <f ca="1">('Calc|Opex forecast'!Q$98-'Calc|Opex forecast'!Q$91-'Calc|Opex forecast'!Q$79)*'Input|PWC'!$U49
+SUMIFS('Calc|Opex forecast'!Q$62:Q$90,'Calc|Opex forecast'!$G$62:$G$90,$C$66,'Calc|Opex forecast'!$I$62:$I$90,$C64)</f>
        <v>0.16044662602881041</v>
      </c>
      <c r="T64" s="23"/>
    </row>
    <row r="65" spans="1:24" ht="10.5">
      <c r="C65" s="15" t="str">
        <f>'Input|PWC'!$C$50</f>
        <v>Expensed Corporate Overheads</v>
      </c>
      <c r="D65" s="25" t="s">
        <v>194</v>
      </c>
      <c r="E65" s="16" t="str">
        <f t="shared" si="18"/>
        <v>$millions</v>
      </c>
      <c r="F65" s="101">
        <f t="shared" si="19"/>
        <v>45444</v>
      </c>
      <c r="H65" s="21"/>
      <c r="I65" s="21"/>
      <c r="O65" s="108">
        <f ca="1">('Calc|Opex forecast'!O$98-'Calc|Opex forecast'!O$91-'Calc|Opex forecast'!O$79)*'Input|PWC'!$U50
+SUMIFS('Calc|Opex forecast'!O$62:O$90,'Calc|Opex forecast'!$G$62:$G$90,$C$66,'Calc|Opex forecast'!$I$62:$I$90,$C65)</f>
        <v>2.1767842070259285</v>
      </c>
      <c r="P65" s="108">
        <f ca="1">('Calc|Opex forecast'!P$98-'Calc|Opex forecast'!P$91-'Calc|Opex forecast'!P$79)*'Input|PWC'!$U50
+SUMIFS('Calc|Opex forecast'!P$62:P$90,'Calc|Opex forecast'!$G$62:$G$90,$C$66,'Calc|Opex forecast'!$I$62:$I$90,$C65)</f>
        <v>1.950166201724747</v>
      </c>
      <c r="Q65" s="108">
        <f ca="1">('Calc|Opex forecast'!Q$98-'Calc|Opex forecast'!Q$91-'Calc|Opex forecast'!Q$79)*'Input|PWC'!$U50
+SUMIFS('Calc|Opex forecast'!Q$62:Q$90,'Calc|Opex forecast'!$G$62:$G$90,$C$66,'Calc|Opex forecast'!$I$62:$I$90,$C65)</f>
        <v>1.700945260037412</v>
      </c>
      <c r="T65" s="23"/>
    </row>
    <row r="66" spans="1:24" ht="10.5">
      <c r="C66" s="9" t="str">
        <f>'Input|PWC'!$U$46</f>
        <v>Real Time Operations (SC)</v>
      </c>
      <c r="D66" s="128" t="s">
        <v>126</v>
      </c>
      <c r="E66" s="21" t="str">
        <f t="shared" si="12"/>
        <v>$millions</v>
      </c>
      <c r="F66" s="105">
        <f t="shared" si="13"/>
        <v>45444</v>
      </c>
      <c r="H66" s="21"/>
      <c r="I66" s="21"/>
      <c r="O66" s="206">
        <f ca="1">SUM(O62:O65)</f>
        <v>8.1673479349661875</v>
      </c>
      <c r="P66" s="206">
        <f t="shared" ref="P66:Q66" ca="1" si="20">SUM(P62:P65)</f>
        <v>8.1142962673296939</v>
      </c>
      <c r="Q66" s="206">
        <f t="shared" ca="1" si="20"/>
        <v>7.9156833552808257</v>
      </c>
      <c r="T66" s="23"/>
    </row>
    <row r="67" spans="1:24" ht="10.5">
      <c r="D67" s="25"/>
      <c r="F67" s="101"/>
      <c r="H67" s="21"/>
      <c r="I67" s="21"/>
      <c r="O67" s="108"/>
      <c r="P67" s="108"/>
      <c r="Q67" s="108"/>
      <c r="T67" s="23"/>
    </row>
    <row r="68" spans="1:24" ht="10.5">
      <c r="C68" s="9" t="s">
        <v>89</v>
      </c>
      <c r="D68" s="21" t="s">
        <v>68</v>
      </c>
      <c r="E68" s="21" t="str">
        <f t="shared" si="12"/>
        <v>$millions</v>
      </c>
      <c r="F68" s="105">
        <f t="shared" si="13"/>
        <v>45444</v>
      </c>
      <c r="H68" s="21"/>
      <c r="I68" s="21"/>
      <c r="O68" s="206">
        <f ca="1">O42+O48+O54+O60+O66</f>
        <v>20.060238541878824</v>
      </c>
      <c r="P68" s="206">
        <f t="shared" ref="P68:Q68" ca="1" si="21">P42+P48+P54+P60+P66</f>
        <v>20.023231051737447</v>
      </c>
      <c r="Q68" s="206">
        <f t="shared" ca="1" si="21"/>
        <v>19.635910815442855</v>
      </c>
      <c r="T68" s="23"/>
    </row>
    <row r="69" spans="1:24" ht="10.5">
      <c r="D69" s="25"/>
      <c r="H69" s="21"/>
      <c r="I69" s="21"/>
      <c r="T69" s="23"/>
    </row>
    <row r="70" spans="1:24" ht="10.5">
      <c r="C70" s="17" t="s">
        <v>138</v>
      </c>
      <c r="D70" s="127" t="s">
        <v>126</v>
      </c>
      <c r="E70" s="127" t="s">
        <v>139</v>
      </c>
      <c r="F70" s="127" t="s">
        <v>140</v>
      </c>
      <c r="H70" s="21"/>
      <c r="I70" s="21"/>
      <c r="O70" s="172" t="str">
        <f ca="1">IF(SUM(O13:O18)=O68,"Ok","Check")</f>
        <v>Ok</v>
      </c>
      <c r="P70" s="172" t="str">
        <f ca="1">IF(SUM(P13:P18)=P68,"Ok","Check")</f>
        <v>Ok</v>
      </c>
      <c r="Q70" s="172" t="str">
        <f ca="1">IF(SUM(Q13:Q18)=Q68,"Ok","Check")</f>
        <v>Ok</v>
      </c>
      <c r="T70" s="23"/>
    </row>
    <row r="71" spans="1:24" ht="10.5">
      <c r="D71" s="25"/>
      <c r="H71" s="21"/>
      <c r="I71" s="21"/>
      <c r="T71" s="23"/>
    </row>
    <row r="72" spans="1:24" customFormat="1" ht="12.3">
      <c r="A72" s="34"/>
      <c r="B72" s="40" t="s">
        <v>37</v>
      </c>
      <c r="C72" s="34"/>
      <c r="D72" s="34"/>
      <c r="E72" s="34"/>
      <c r="F72" s="35"/>
      <c r="G72" s="35"/>
      <c r="H72" s="35"/>
      <c r="I72" s="35"/>
      <c r="J72" s="36"/>
      <c r="K72" s="37"/>
      <c r="L72" s="36"/>
      <c r="M72" s="37"/>
      <c r="N72" s="36"/>
      <c r="O72" s="36"/>
      <c r="P72" s="36"/>
      <c r="Q72" s="36"/>
      <c r="R72" s="36"/>
      <c r="S72" s="36"/>
      <c r="T72" s="36"/>
      <c r="U72" s="36"/>
      <c r="V72" s="36"/>
      <c r="W72" s="37"/>
      <c r="X72" s="37"/>
    </row>
    <row r="74" spans="1:24"/>
    <row r="75" spans="1:24"/>
    <row r="76" spans="1:24"/>
    <row r="78" spans="1:24"/>
    <row r="79" spans="1:24" hidden="1">
      <c r="M79" s="92"/>
      <c r="N79" s="92"/>
      <c r="O79" s="92"/>
      <c r="P79" s="92"/>
      <c r="Q79" s="92"/>
      <c r="R79" s="92"/>
      <c r="S79" s="92"/>
      <c r="T79" s="92"/>
    </row>
    <row r="80" spans="1:24"/>
    <row r="81"/>
    <row r="82"/>
    <row r="83"/>
    <row r="85"/>
    <row r="86"/>
  </sheetData>
  <mergeCells count="1">
    <mergeCell ref="N3:S3"/>
  </mergeCells>
  <conditionalFormatting sqref="J11:T11">
    <cfRule type="expression" dxfId="23" priority="14">
      <formula>J$11=J$4</formula>
    </cfRule>
  </conditionalFormatting>
  <conditionalFormatting sqref="J13:T18">
    <cfRule type="expression" dxfId="22" priority="10">
      <formula>AND($C13=0,J$11=J$4)</formula>
    </cfRule>
    <cfRule type="expression" dxfId="21" priority="11">
      <formula>NOT(J$11=J$4)</formula>
    </cfRule>
    <cfRule type="expression" dxfId="20" priority="12">
      <formula>J$11=J$4</formula>
    </cfRule>
  </conditionalFormatting>
  <conditionalFormatting sqref="O34:Q34">
    <cfRule type="cellIs" dxfId="19" priority="3" operator="equal">
      <formula>"Check"</formula>
    </cfRule>
    <cfRule type="cellIs" dxfId="18" priority="4" operator="equal">
      <formula>"Ok"</formula>
    </cfRule>
  </conditionalFormatting>
  <conditionalFormatting sqref="O70:Q70">
    <cfRule type="cellIs" dxfId="17" priority="1" operator="equal">
      <formula>"Check"</formula>
    </cfRule>
    <cfRule type="cellIs" dxfId="16" priority="2" operator="equal">
      <formula>"Ok"</formula>
    </cfRule>
  </conditionalFormatting>
  <conditionalFormatting sqref="S1:T1">
    <cfRule type="cellIs" dxfId="15" priority="8" operator="equal">
      <formula>"Check"</formula>
    </cfRule>
    <cfRule type="cellIs" dxfId="14" priority="9" operator="equal">
      <formula>"Ok"</formula>
    </cfRule>
  </conditionalFormatting>
  <conditionalFormatting sqref="W1">
    <cfRule type="cellIs" dxfId="13" priority="20" operator="equal">
      <formula>"Check"</formula>
    </cfRule>
    <cfRule type="cellIs" dxfId="12" priority="21" operator="equal">
      <formula>"Ok"</formula>
    </cfRule>
  </conditionalFormatting>
  <dataValidations count="2">
    <dataValidation type="list" allowBlank="1" showInputMessage="1" showErrorMessage="1" sqref="F13:F18 F38:F68 F22:F32" xr:uid="{00000000-0002-0000-0800-000000000000}">
      <formula1>$G$75:$G$81</formula1>
    </dataValidation>
    <dataValidation type="list" allowBlank="1" showInputMessage="1" showErrorMessage="1" sqref="F19 F21 F33 F35 F71 F37 F69" xr:uid="{00000000-0002-0000-0800-000001000000}">
      <formula1>#REF!</formula1>
    </dataValidation>
  </dataValidations>
  <hyperlinks>
    <hyperlink ref="J1" location="Index!A1" display="Back to Index" xr:uid="{00000000-0004-0000-0800-000000000000}"/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V1" location="'Check|List'!A1" display="Overall Check:" xr:uid="{00000000-0004-0000-0800-000005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D22" location="'Calc|Opex forecast'!A1" display="Calc | Opex forecast" xr:uid="{E7C37582-7E63-4381-9642-6D8B5DCC5D8C}"/>
    <hyperlink ref="D23" location="'Calc|Opex forecast'!A1" display="Calc | Opex forecast" xr:uid="{2937F3C9-A961-40E0-94F0-012348B5833F}"/>
    <hyperlink ref="D24" location="'Calc|Opex forecast'!A1" display="Calc | Opex forecast" xr:uid="{058D9C0B-0FC8-4BEB-83F6-C74AEC85D5A9}"/>
    <hyperlink ref="D27" location="'Calc|Opex forecast'!A1" display="Calc | Opex forecast" xr:uid="{26C3B3DB-1F26-4AD2-8503-24E4305174D4}"/>
    <hyperlink ref="D28" location="'Calc|Opex forecast'!A1" display="Calc | Opex forecast" xr:uid="{378B1478-F34C-432A-8793-CB165DDF6CB1}"/>
    <hyperlink ref="D29" location="'Calc|Opex forecast'!A1" display="Calc | Opex forecast" xr:uid="{F33ABB13-E6F5-4904-B7EB-601426A40401}"/>
    <hyperlink ref="D38" location="'Calc|Opex forecast'!A1" display="Calc | Opex forecast" xr:uid="{65D10026-0385-47AC-A099-D37C5EBAD976}"/>
    <hyperlink ref="D39" location="'Calc|Opex forecast'!A1" display="Calc | Opex forecast" xr:uid="{01C888F7-6CF7-467D-A5EC-08A9537E6C48}"/>
    <hyperlink ref="D41" location="'Calc|Opex forecast'!A1" display="Calc | Opex forecast" xr:uid="{0D086EBE-5409-451F-A592-9F2B9B0A43B8}"/>
    <hyperlink ref="D62" location="'Calc|Opex forecast'!A1" display="Calc | Opex forecast" xr:uid="{78593468-369A-482C-B7DF-1283C9B6B2E3}"/>
    <hyperlink ref="D63" location="'Calc|Opex forecast'!A1" display="Calc | Opex forecast" xr:uid="{5A4351B4-35B4-4793-9991-90D073E2E758}"/>
    <hyperlink ref="D65" location="'Calc|Opex forecast'!A1" display="Calc | Opex forecast" xr:uid="{7AB66DC1-7166-4B51-8481-6E1281935548}"/>
    <hyperlink ref="D40" location="'Calc|Opex forecast'!A1" display="Calc | Opex forecast" xr:uid="{C31AB6FB-4457-4049-97B8-70CCB394310B}"/>
    <hyperlink ref="D64" location="'Calc|Opex forecast'!A1" display="Calc | Opex forecast" xr:uid="{19489D5B-797F-49A4-9B94-6D367F8A6224}"/>
    <hyperlink ref="D44" location="'Calc|Opex forecast'!A1" display="Calc | Opex forecast" xr:uid="{5E1BFC76-8071-45CC-8AB3-A5E95589DEE5}"/>
    <hyperlink ref="D45" location="'Calc|Opex forecast'!A1" display="Calc | Opex forecast" xr:uid="{F55C9B83-8441-4F33-BA54-B60F256F4FD5}"/>
    <hyperlink ref="D47" location="'Calc|Opex forecast'!A1" display="Calc | Opex forecast" xr:uid="{CA9394D4-517E-4F05-AF72-100BBB91FDAE}"/>
    <hyperlink ref="D46" location="'Calc|Opex forecast'!A1" display="Calc | Opex forecast" xr:uid="{AF743BEC-9993-42AB-8F22-EDEFEA2E3258}"/>
    <hyperlink ref="D50" location="'Calc|Opex forecast'!A1" display="Calc | Opex forecast" xr:uid="{D0D0A8E6-A16C-4279-B521-5648D16DE861}"/>
    <hyperlink ref="D51" location="'Calc|Opex forecast'!A1" display="Calc | Opex forecast" xr:uid="{D1E057AF-2C65-4457-829F-DB5BB84C52BD}"/>
    <hyperlink ref="D53" location="'Calc|Opex forecast'!A1" display="Calc | Opex forecast" xr:uid="{193668C1-24D9-4DCE-8B06-7FEED5ABB489}"/>
    <hyperlink ref="D52" location="'Calc|Opex forecast'!A1" display="Calc | Opex forecast" xr:uid="{997431C4-E721-4FB1-8BB5-B344CB0CAE57}"/>
    <hyperlink ref="D56" location="'Calc|Opex forecast'!A1" display="Calc | Opex forecast" xr:uid="{510823F9-8B7E-415F-B19C-F64687A2ADAB}"/>
    <hyperlink ref="D57" location="'Calc|Opex forecast'!A1" display="Calc | Opex forecast" xr:uid="{5DAAF868-CA1F-4411-82C1-91C238CF2B9E}"/>
    <hyperlink ref="D59" location="'Calc|Opex forecast'!A1" display="Calc | Opex forecast" xr:uid="{EB014EC4-B003-4245-BB9E-ACE7C9004BC1}"/>
    <hyperlink ref="D58" location="'Calc|Opex forecast'!A1" display="Calc | Opex forecast" xr:uid="{2157F785-0384-4FB8-8E34-4292E449960F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'Lookup|Tables'!$H$52:$H$71</xm:f>
          </x14:formula1>
          <xm:sqref>F8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16A975E5FD31544BC74FDC29EF6BD93" ma:contentTypeVersion="4" ma:contentTypeDescription="Create a new document." ma:contentTypeScope="" ma:versionID="0a5a596a6abf37fbc48a48ed73ea40a4">
  <xsd:schema xmlns:xsd="http://www.w3.org/2001/XMLSchema" xmlns:xs="http://www.w3.org/2001/XMLSchema" xmlns:p="http://schemas.microsoft.com/office/2006/metadata/properties" xmlns:ns2="d9deae47-28e4-41cd-88de-010cd307f72c" targetNamespace="http://schemas.microsoft.com/office/2006/metadata/properties" ma:root="true" ma:fieldsID="ebf0806ef09db608679d75bc01f4768c" ns2:_="">
    <xsd:import namespace="d9deae47-28e4-41cd-88de-010cd307f72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eae47-28e4-41cd-88de-010cd307f7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F1C7135-1BE9-47BB-B153-B14CF5437A9E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D919BD1D-EAB7-4A0E-8E5E-1C36F025D44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1931EA6-126F-464F-AA57-20FB053461B0}"/>
</file>

<file path=customXml/itemProps4.xml><?xml version="1.0" encoding="utf-8"?>
<ds:datastoreItem xmlns:ds="http://schemas.openxmlformats.org/officeDocument/2006/customXml" ds:itemID="{92A2CC58-3B34-4EE0-B156-C817EABB8F2F}">
  <ds:schemaRefs>
    <ds:schemaRef ds:uri="http://schemas.microsoft.com/office/2006/metadata/properties"/>
    <ds:schemaRef ds:uri="09b59761-9056-4ebb-83a4-12db4fcc96a1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d231c877-1000-4f47-8232-777e724d7c6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17</vt:i4>
      </vt:variant>
    </vt:vector>
  </HeadingPairs>
  <TitlesOfParts>
    <vt:vector size="28" baseType="lpstr">
      <vt:lpstr>Index</vt:lpstr>
      <vt:lpstr>Input|General</vt:lpstr>
      <vt:lpstr>Input|Inflation</vt:lpstr>
      <vt:lpstr>Input|PWC</vt:lpstr>
      <vt:lpstr>Input|Reported opex</vt:lpstr>
      <vt:lpstr>Input|Rate of change</vt:lpstr>
      <vt:lpstr>Input|Step changes</vt:lpstr>
      <vt:lpstr>Calc|Opex forecast</vt:lpstr>
      <vt:lpstr>Output|Models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Ryan Barrett</cp:lastModifiedBy>
  <cp:revision/>
  <dcterms:created xsi:type="dcterms:W3CDTF">2024-04-19T03:39:29Z</dcterms:created>
  <dcterms:modified xsi:type="dcterms:W3CDTF">2025-04-24T04:49:24Z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0x010100316A975E5FD31544BC74FDC29EF6BD93</vt:lpwstr>
  </property>
  <property fmtid="{D5CDD505-2E9C-101B-9397-08002B2CF9AE}" pid="3" name="MediaServiceImageTags">
    <vt:lpwstr/>
  </property>
  <property fmtid="{D5CDD505-2E9C-101B-9397-08002B2CF9AE}" pid="4" name="Order">
    <vt:r8>233600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